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kaTakT\Desktop\16-18 июля\"/>
    </mc:Choice>
  </mc:AlternateContent>
  <xr:revisionPtr revIDLastSave="0" documentId="13_ncr:1_{11D5D783-8519-4E17-8840-EAF36AD70871}" xr6:coauthVersionLast="47" xr6:coauthVersionMax="47" xr10:uidLastSave="{00000000-0000-0000-0000-000000000000}"/>
  <bookViews>
    <workbookView xWindow="-108" yWindow="-108" windowWidth="23256" windowHeight="12576" tabRatio="874" activeTab="8" xr2:uid="{00000000-000D-0000-FFFF-FFFF00000000}"/>
  </bookViews>
  <sheets>
    <sheet name="Место-баллы" sheetId="1" r:id="rId1"/>
    <sheet name="35-39 Ж" sheetId="45" r:id="rId2"/>
    <sheet name="35-39 М" sheetId="50" r:id="rId3"/>
    <sheet name="40-44 Ж" sheetId="52" r:id="rId4"/>
    <sheet name="40-44 М" sheetId="51" r:id="rId5"/>
    <sheet name="45-49 Ж" sheetId="53" r:id="rId6"/>
    <sheet name="45-49 М" sheetId="54" r:id="rId7"/>
    <sheet name="50+ Ж" sheetId="55" r:id="rId8"/>
    <sheet name="50+ М" sheetId="56" r:id="rId9"/>
    <sheet name="Команды" sheetId="57" r:id="rId10"/>
  </sheets>
  <definedNames>
    <definedName name="_xlnm._FilterDatabase" localSheetId="1" hidden="1">'35-39 Ж'!$B$18:$AJ$18</definedName>
    <definedName name="_xlnm._FilterDatabase" localSheetId="2" hidden="1">'35-39 М'!$B$18:$AJ$18</definedName>
    <definedName name="_xlnm._FilterDatabase" localSheetId="3" hidden="1">'40-44 Ж'!$B$18:$AJ$18</definedName>
    <definedName name="_xlnm._FilterDatabase" localSheetId="4" hidden="1">'40-44 М'!$B$18:$AJ$18</definedName>
    <definedName name="_xlnm._FilterDatabase" localSheetId="5" hidden="1">'45-49 Ж'!$B$18:$AJ$18</definedName>
    <definedName name="_xlnm._FilterDatabase" localSheetId="6" hidden="1">'45-49 М'!$B$18:$AJ$18</definedName>
    <definedName name="_xlnm._FilterDatabase" localSheetId="7" hidden="1">'50+ Ж'!$B$18:$AJ$18</definedName>
    <definedName name="_xlnm._FilterDatabase" localSheetId="8" hidden="1">'50+ М'!$B$18:$AJ$18</definedName>
    <definedName name="_xlnm._FilterDatabase" localSheetId="9" hidden="1">Команды!$B$18:$BC$18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9" i="50" l="1"/>
  <c r="V19" i="50"/>
  <c r="M19" i="50"/>
  <c r="AE19" i="51"/>
  <c r="V19" i="51"/>
  <c r="M19" i="51"/>
  <c r="AE19" i="54"/>
  <c r="V19" i="54"/>
  <c r="M19" i="54"/>
  <c r="AE19" i="45"/>
  <c r="V19" i="45"/>
  <c r="M19" i="45"/>
  <c r="AE19" i="52"/>
  <c r="AF13" i="52"/>
  <c r="AG19" i="52"/>
  <c r="AH19" i="52"/>
  <c r="V19" i="52"/>
  <c r="M19" i="52"/>
  <c r="AE19" i="53"/>
  <c r="AF13" i="53"/>
  <c r="AG19" i="53"/>
  <c r="AH19" i="53"/>
  <c r="V19" i="53"/>
  <c r="M19" i="53"/>
  <c r="H22" i="55"/>
  <c r="I22" i="55"/>
  <c r="M22" i="55"/>
  <c r="N13" i="55"/>
  <c r="O22" i="55"/>
  <c r="P22" i="55"/>
  <c r="M19" i="55"/>
  <c r="O19" i="55"/>
  <c r="P19" i="55"/>
  <c r="M21" i="55"/>
  <c r="O21" i="55"/>
  <c r="P21" i="55"/>
  <c r="M20" i="55"/>
  <c r="O20" i="55"/>
  <c r="P20" i="55"/>
  <c r="M23" i="55"/>
  <c r="O23" i="55"/>
  <c r="P23" i="55"/>
  <c r="Q22" i="55"/>
  <c r="R22" i="55"/>
  <c r="V22" i="55"/>
  <c r="X22" i="55"/>
  <c r="Y22" i="55"/>
  <c r="V19" i="55"/>
  <c r="X19" i="55"/>
  <c r="Y19" i="55"/>
  <c r="V21" i="55"/>
  <c r="X21" i="55"/>
  <c r="Y21" i="55"/>
  <c r="V20" i="55"/>
  <c r="X20" i="55"/>
  <c r="Y20" i="55"/>
  <c r="V23" i="55"/>
  <c r="X23" i="55"/>
  <c r="Y23" i="55"/>
  <c r="Z22" i="55"/>
  <c r="AA22" i="55"/>
  <c r="AE22" i="55"/>
  <c r="AG22" i="55"/>
  <c r="AH22" i="55"/>
  <c r="AE19" i="55"/>
  <c r="AG19" i="55"/>
  <c r="AH19" i="55"/>
  <c r="AE20" i="55"/>
  <c r="AG20" i="55"/>
  <c r="AH20" i="55"/>
  <c r="AE21" i="55"/>
  <c r="AG21" i="55"/>
  <c r="AH21" i="55"/>
  <c r="AE23" i="55"/>
  <c r="AG23" i="55"/>
  <c r="AH23" i="55"/>
  <c r="AI22" i="55"/>
  <c r="AJ22" i="55"/>
  <c r="C22" i="55"/>
  <c r="H20" i="55"/>
  <c r="I20" i="55"/>
  <c r="Q20" i="55"/>
  <c r="R20" i="55"/>
  <c r="Z20" i="55"/>
  <c r="AA20" i="55"/>
  <c r="AI20" i="55"/>
  <c r="AJ20" i="55"/>
  <c r="C20" i="55"/>
  <c r="AF13" i="55"/>
  <c r="AE20" i="56"/>
  <c r="V20" i="56"/>
  <c r="M20" i="56"/>
  <c r="W21" i="56"/>
  <c r="W30" i="56"/>
  <c r="W22" i="56"/>
  <c r="W20" i="56"/>
  <c r="W23" i="56"/>
  <c r="W26" i="54"/>
  <c r="W24" i="54"/>
  <c r="W25" i="54"/>
  <c r="W22" i="54"/>
  <c r="W27" i="54"/>
  <c r="W20" i="54"/>
  <c r="W22" i="53"/>
  <c r="W21" i="53"/>
  <c r="W19" i="53"/>
  <c r="W27" i="51"/>
  <c r="W22" i="51"/>
  <c r="W24" i="51"/>
  <c r="W29" i="51"/>
  <c r="W19" i="51"/>
  <c r="W21" i="51"/>
  <c r="W23" i="52"/>
  <c r="W28" i="52"/>
  <c r="W21" i="52"/>
  <c r="W19" i="52"/>
  <c r="W27" i="50"/>
  <c r="W22" i="50"/>
  <c r="W21" i="45"/>
  <c r="K23" i="57"/>
  <c r="G23" i="57"/>
  <c r="K22" i="57"/>
  <c r="G22" i="57"/>
  <c r="K20" i="57"/>
  <c r="G20" i="57"/>
  <c r="K19" i="57"/>
  <c r="K24" i="57"/>
  <c r="K25" i="57"/>
  <c r="L21" i="57"/>
  <c r="M21" i="57"/>
  <c r="G19" i="57"/>
  <c r="G24" i="57"/>
  <c r="G25" i="57"/>
  <c r="AY13" i="57"/>
  <c r="AF13" i="56"/>
  <c r="AG29" i="56"/>
  <c r="AF13" i="54"/>
  <c r="AG19" i="54"/>
  <c r="AF13" i="51"/>
  <c r="AF13" i="50"/>
  <c r="AG21" i="50"/>
  <c r="AF13" i="45"/>
  <c r="AG21" i="45"/>
  <c r="Q25" i="57"/>
  <c r="W25" i="57"/>
  <c r="AF25" i="57"/>
  <c r="AO25" i="57"/>
  <c r="AQ25" i="57"/>
  <c r="Q19" i="57"/>
  <c r="W19" i="57"/>
  <c r="AF19" i="57"/>
  <c r="AO19" i="57"/>
  <c r="AQ19" i="57"/>
  <c r="AX19" i="57"/>
  <c r="AZ19" i="57"/>
  <c r="Q21" i="57"/>
  <c r="W21" i="57"/>
  <c r="AF21" i="57"/>
  <c r="AO21" i="57"/>
  <c r="AQ21" i="57"/>
  <c r="AX21" i="57"/>
  <c r="AZ21" i="57"/>
  <c r="Q23" i="57"/>
  <c r="W23" i="57"/>
  <c r="AF23" i="57"/>
  <c r="AO23" i="57"/>
  <c r="AQ23" i="57"/>
  <c r="AX23" i="57"/>
  <c r="AZ23" i="57"/>
  <c r="Q22" i="57"/>
  <c r="W22" i="57"/>
  <c r="AF22" i="57"/>
  <c r="AO22" i="57"/>
  <c r="AQ22" i="57"/>
  <c r="AX22" i="57"/>
  <c r="AZ22" i="57"/>
  <c r="Q20" i="57"/>
  <c r="W20" i="57"/>
  <c r="AF20" i="57"/>
  <c r="AO20" i="57"/>
  <c r="AQ20" i="57"/>
  <c r="AX20" i="57"/>
  <c r="AZ20" i="57"/>
  <c r="H30" i="56"/>
  <c r="I30" i="56"/>
  <c r="M30" i="56"/>
  <c r="V30" i="56"/>
  <c r="AE30" i="56"/>
  <c r="H21" i="56"/>
  <c r="I21" i="56"/>
  <c r="M21" i="56"/>
  <c r="V21" i="56"/>
  <c r="AE21" i="56"/>
  <c r="H24" i="56"/>
  <c r="I24" i="56"/>
  <c r="M24" i="56"/>
  <c r="V24" i="56"/>
  <c r="AE24" i="56"/>
  <c r="AG24" i="56"/>
  <c r="H29" i="56"/>
  <c r="I29" i="56"/>
  <c r="M29" i="56"/>
  <c r="V29" i="56"/>
  <c r="AE29" i="56"/>
  <c r="H22" i="56"/>
  <c r="I22" i="56"/>
  <c r="M22" i="56"/>
  <c r="V22" i="56"/>
  <c r="AE22" i="56"/>
  <c r="H25" i="56"/>
  <c r="I25" i="56"/>
  <c r="M25" i="56"/>
  <c r="V25" i="56"/>
  <c r="AE25" i="56"/>
  <c r="H19" i="56"/>
  <c r="I19" i="56"/>
  <c r="M19" i="56"/>
  <c r="V19" i="56"/>
  <c r="AE19" i="56"/>
  <c r="H20" i="56"/>
  <c r="I20" i="56"/>
  <c r="H28" i="56"/>
  <c r="I28" i="56"/>
  <c r="M28" i="56"/>
  <c r="V28" i="56"/>
  <c r="AE28" i="56"/>
  <c r="H27" i="56"/>
  <c r="I27" i="56"/>
  <c r="M27" i="56"/>
  <c r="V27" i="56"/>
  <c r="AE27" i="56"/>
  <c r="H23" i="56"/>
  <c r="I23" i="56"/>
  <c r="M23" i="56"/>
  <c r="V23" i="56"/>
  <c r="AE23" i="56"/>
  <c r="H23" i="55"/>
  <c r="I23" i="55"/>
  <c r="H19" i="55"/>
  <c r="I19" i="55"/>
  <c r="H21" i="55"/>
  <c r="I21" i="55"/>
  <c r="H26" i="54"/>
  <c r="I26" i="54"/>
  <c r="M26" i="54"/>
  <c r="V26" i="54"/>
  <c r="AE26" i="54"/>
  <c r="H22" i="54"/>
  <c r="I22" i="54"/>
  <c r="M22" i="54"/>
  <c r="V22" i="54"/>
  <c r="AE22" i="54"/>
  <c r="H24" i="54"/>
  <c r="I24" i="54"/>
  <c r="M24" i="54"/>
  <c r="V24" i="54"/>
  <c r="AE24" i="54"/>
  <c r="H19" i="54"/>
  <c r="I19" i="54"/>
  <c r="H23" i="54"/>
  <c r="I23" i="54"/>
  <c r="M23" i="54"/>
  <c r="V23" i="54"/>
  <c r="AE23" i="54"/>
  <c r="H21" i="54"/>
  <c r="I21" i="54"/>
  <c r="M21" i="54"/>
  <c r="V21" i="54"/>
  <c r="AE21" i="54"/>
  <c r="H20" i="54"/>
  <c r="I20" i="54"/>
  <c r="M20" i="54"/>
  <c r="V20" i="54"/>
  <c r="AE20" i="54"/>
  <c r="H27" i="54"/>
  <c r="I27" i="54"/>
  <c r="M27" i="54"/>
  <c r="V27" i="54"/>
  <c r="AE27" i="54"/>
  <c r="H20" i="53"/>
  <c r="I20" i="53"/>
  <c r="M20" i="53"/>
  <c r="V20" i="53"/>
  <c r="AE20" i="53"/>
  <c r="AG20" i="53"/>
  <c r="H19" i="53"/>
  <c r="I19" i="53"/>
  <c r="H25" i="53"/>
  <c r="I25" i="53"/>
  <c r="M25" i="53"/>
  <c r="V25" i="53"/>
  <c r="AE25" i="53"/>
  <c r="AG25" i="53"/>
  <c r="H23" i="53"/>
  <c r="I23" i="53"/>
  <c r="M23" i="53"/>
  <c r="V23" i="53"/>
  <c r="AE23" i="53"/>
  <c r="AG23" i="53"/>
  <c r="H21" i="53"/>
  <c r="I21" i="53"/>
  <c r="M21" i="53"/>
  <c r="V21" i="53"/>
  <c r="AE21" i="53"/>
  <c r="AG21" i="53"/>
  <c r="H22" i="53"/>
  <c r="I22" i="53"/>
  <c r="M22" i="53"/>
  <c r="V22" i="53"/>
  <c r="AE22" i="53"/>
  <c r="AG22" i="53"/>
  <c r="AH22" i="53"/>
  <c r="H24" i="51"/>
  <c r="I24" i="51"/>
  <c r="M24" i="51"/>
  <c r="V24" i="51"/>
  <c r="AE24" i="51"/>
  <c r="AG24" i="51"/>
  <c r="H22" i="51"/>
  <c r="I22" i="51"/>
  <c r="M22" i="51"/>
  <c r="V22" i="51"/>
  <c r="AE22" i="51"/>
  <c r="AG22" i="51"/>
  <c r="H27" i="51"/>
  <c r="I27" i="51"/>
  <c r="M27" i="51"/>
  <c r="V27" i="51"/>
  <c r="AE27" i="51"/>
  <c r="AG27" i="51"/>
  <c r="H23" i="51"/>
  <c r="I23" i="51"/>
  <c r="M23" i="51"/>
  <c r="V23" i="51"/>
  <c r="AE23" i="51"/>
  <c r="AG23" i="51"/>
  <c r="H19" i="51"/>
  <c r="I19" i="51"/>
  <c r="AG19" i="51"/>
  <c r="H29" i="51"/>
  <c r="I29" i="51"/>
  <c r="M29" i="51"/>
  <c r="V29" i="51"/>
  <c r="H21" i="51"/>
  <c r="I21" i="51"/>
  <c r="M21" i="51"/>
  <c r="V21" i="51"/>
  <c r="AE21" i="51"/>
  <c r="AG21" i="51"/>
  <c r="H28" i="51"/>
  <c r="I28" i="51"/>
  <c r="M28" i="51"/>
  <c r="V28" i="51"/>
  <c r="AE28" i="51"/>
  <c r="AG28" i="51"/>
  <c r="H26" i="51"/>
  <c r="I26" i="51"/>
  <c r="M26" i="51"/>
  <c r="V26" i="51"/>
  <c r="AE26" i="51"/>
  <c r="AG26" i="51"/>
  <c r="H25" i="51"/>
  <c r="I25" i="51"/>
  <c r="M25" i="51"/>
  <c r="V25" i="51"/>
  <c r="AE25" i="51"/>
  <c r="AG25" i="51"/>
  <c r="H23" i="52"/>
  <c r="I23" i="52"/>
  <c r="M23" i="52"/>
  <c r="V23" i="52"/>
  <c r="AE23" i="52"/>
  <c r="AG23" i="52"/>
  <c r="H28" i="52"/>
  <c r="I28" i="52"/>
  <c r="M28" i="52"/>
  <c r="V28" i="52"/>
  <c r="AE28" i="52"/>
  <c r="AG28" i="52"/>
  <c r="H27" i="52"/>
  <c r="I27" i="52"/>
  <c r="M27" i="52"/>
  <c r="V27" i="52"/>
  <c r="AE27" i="52"/>
  <c r="AG27" i="52"/>
  <c r="H25" i="52"/>
  <c r="I25" i="52"/>
  <c r="M25" i="52"/>
  <c r="V25" i="52"/>
  <c r="AE25" i="52"/>
  <c r="AG25" i="52"/>
  <c r="H19" i="52"/>
  <c r="I19" i="52"/>
  <c r="H20" i="52"/>
  <c r="I20" i="52"/>
  <c r="M20" i="52"/>
  <c r="V20" i="52"/>
  <c r="AE20" i="52"/>
  <c r="AG20" i="52"/>
  <c r="H26" i="52"/>
  <c r="I26" i="52"/>
  <c r="M26" i="52"/>
  <c r="V26" i="52"/>
  <c r="AE26" i="52"/>
  <c r="AG26" i="52"/>
  <c r="H22" i="52"/>
  <c r="I22" i="52"/>
  <c r="M22" i="52"/>
  <c r="V22" i="52"/>
  <c r="AE22" i="52"/>
  <c r="AG22" i="52"/>
  <c r="H21" i="52"/>
  <c r="I21" i="52"/>
  <c r="M21" i="52"/>
  <c r="V21" i="52"/>
  <c r="AE21" i="52"/>
  <c r="AG21" i="52"/>
  <c r="H24" i="50"/>
  <c r="I24" i="50"/>
  <c r="M24" i="50"/>
  <c r="V24" i="50"/>
  <c r="AE24" i="50"/>
  <c r="H30" i="50"/>
  <c r="I30" i="50"/>
  <c r="M30" i="50"/>
  <c r="V30" i="50"/>
  <c r="AE30" i="50"/>
  <c r="H29" i="50"/>
  <c r="I29" i="50"/>
  <c r="M29" i="50"/>
  <c r="V29" i="50"/>
  <c r="AE29" i="50"/>
  <c r="AG29" i="50"/>
  <c r="H23" i="50"/>
  <c r="I23" i="50"/>
  <c r="M23" i="50"/>
  <c r="V23" i="50"/>
  <c r="AE23" i="50"/>
  <c r="AG23" i="50"/>
  <c r="H27" i="50"/>
  <c r="I27" i="50"/>
  <c r="M27" i="50"/>
  <c r="V27" i="50"/>
  <c r="AE27" i="50"/>
  <c r="H31" i="50"/>
  <c r="I31" i="50"/>
  <c r="M31" i="50"/>
  <c r="V31" i="50"/>
  <c r="AE31" i="50"/>
  <c r="AG31" i="50"/>
  <c r="H20" i="50"/>
  <c r="I20" i="50"/>
  <c r="M20" i="50"/>
  <c r="V20" i="50"/>
  <c r="AE20" i="50"/>
  <c r="AG20" i="50"/>
  <c r="H26" i="50"/>
  <c r="I26" i="50"/>
  <c r="M26" i="50"/>
  <c r="V26" i="50"/>
  <c r="AE26" i="50"/>
  <c r="AG26" i="50"/>
  <c r="H22" i="50"/>
  <c r="I22" i="50"/>
  <c r="M22" i="50"/>
  <c r="V22" i="50"/>
  <c r="AE22" i="50"/>
  <c r="AG22" i="50"/>
  <c r="H25" i="50"/>
  <c r="I25" i="50"/>
  <c r="M25" i="50"/>
  <c r="V25" i="50"/>
  <c r="AE25" i="50"/>
  <c r="AG25" i="50"/>
  <c r="H21" i="50"/>
  <c r="I21" i="50"/>
  <c r="M21" i="50"/>
  <c r="V21" i="50"/>
  <c r="AE21" i="50"/>
  <c r="H19" i="50"/>
  <c r="I19" i="50"/>
  <c r="H21" i="45"/>
  <c r="I21" i="45"/>
  <c r="M21" i="45"/>
  <c r="V21" i="45"/>
  <c r="AE21" i="45"/>
  <c r="H20" i="45"/>
  <c r="I20" i="45"/>
  <c r="M20" i="45"/>
  <c r="V20" i="45"/>
  <c r="AE20" i="45"/>
  <c r="AG20" i="45"/>
  <c r="H19" i="45"/>
  <c r="I19" i="45"/>
  <c r="AG19" i="45"/>
  <c r="H22" i="45"/>
  <c r="I22" i="45"/>
  <c r="M22" i="45"/>
  <c r="V22" i="45"/>
  <c r="AE22" i="45"/>
  <c r="AG22" i="45"/>
  <c r="H24" i="45"/>
  <c r="I24" i="45"/>
  <c r="M24" i="45"/>
  <c r="V24" i="45"/>
  <c r="AE24" i="45"/>
  <c r="AG24" i="45"/>
  <c r="H25" i="45"/>
  <c r="I25" i="45"/>
  <c r="M25" i="45"/>
  <c r="V25" i="45"/>
  <c r="AE25" i="45"/>
  <c r="AG25" i="45"/>
  <c r="AH21" i="50"/>
  <c r="AH29" i="56"/>
  <c r="AG23" i="56"/>
  <c r="AH23" i="56"/>
  <c r="AG21" i="56"/>
  <c r="AH21" i="56"/>
  <c r="AG30" i="56"/>
  <c r="AH30" i="56"/>
  <c r="AG27" i="56"/>
  <c r="AH27" i="56"/>
  <c r="AG28" i="56"/>
  <c r="AH28" i="56"/>
  <c r="AG20" i="56"/>
  <c r="AH20" i="56"/>
  <c r="AG19" i="56"/>
  <c r="AH19" i="56"/>
  <c r="AG25" i="56"/>
  <c r="AH25" i="56"/>
  <c r="AG22" i="56"/>
  <c r="AH22" i="56"/>
  <c r="AH21" i="53"/>
  <c r="AG24" i="54"/>
  <c r="AH24" i="54"/>
  <c r="AG27" i="54"/>
  <c r="AH27" i="54"/>
  <c r="AG20" i="54"/>
  <c r="AH20" i="54"/>
  <c r="AG21" i="54"/>
  <c r="AH21" i="54"/>
  <c r="AG22" i="54"/>
  <c r="AH22" i="54"/>
  <c r="AG23" i="54"/>
  <c r="AH23" i="54"/>
  <c r="AG26" i="54"/>
  <c r="AH26" i="54"/>
  <c r="AH23" i="51"/>
  <c r="AH25" i="53"/>
  <c r="AH27" i="51"/>
  <c r="AH21" i="51"/>
  <c r="AH28" i="51"/>
  <c r="AH25" i="51"/>
  <c r="AH26" i="51"/>
  <c r="AH26" i="52"/>
  <c r="AH27" i="52"/>
  <c r="AH28" i="52"/>
  <c r="AH25" i="52"/>
  <c r="AH21" i="52"/>
  <c r="AH22" i="50"/>
  <c r="AH31" i="50"/>
  <c r="AH29" i="50"/>
  <c r="AH20" i="50"/>
  <c r="AH26" i="50"/>
  <c r="AG27" i="50"/>
  <c r="AH27" i="50"/>
  <c r="AG30" i="50"/>
  <c r="AH30" i="50"/>
  <c r="AG19" i="50"/>
  <c r="AH19" i="50"/>
  <c r="AG24" i="50"/>
  <c r="AH24" i="50"/>
  <c r="AH25" i="50"/>
  <c r="AH19" i="45"/>
  <c r="AH22" i="45"/>
  <c r="AH24" i="45"/>
  <c r="AH25" i="45"/>
  <c r="AH21" i="45"/>
  <c r="AR20" i="57"/>
  <c r="AR22" i="57"/>
  <c r="BA19" i="57"/>
  <c r="AR21" i="57"/>
  <c r="H23" i="57"/>
  <c r="I23" i="57"/>
  <c r="L20" i="57"/>
  <c r="M20" i="57"/>
  <c r="L22" i="57"/>
  <c r="M22" i="57"/>
  <c r="L19" i="57"/>
  <c r="M19" i="57"/>
  <c r="L25" i="57"/>
  <c r="M25" i="57"/>
  <c r="L23" i="57"/>
  <c r="M23" i="57"/>
  <c r="H20" i="57"/>
  <c r="I20" i="57"/>
  <c r="H21" i="57"/>
  <c r="I21" i="57"/>
  <c r="H19" i="57"/>
  <c r="I19" i="57"/>
  <c r="H22" i="57"/>
  <c r="I22" i="57"/>
  <c r="H25" i="57"/>
  <c r="I25" i="57"/>
  <c r="BA21" i="57"/>
  <c r="AR19" i="57"/>
  <c r="AR23" i="57"/>
  <c r="BA23" i="57"/>
  <c r="BA22" i="57"/>
  <c r="AR25" i="57"/>
  <c r="AH24" i="56"/>
  <c r="AH19" i="54"/>
  <c r="AH20" i="53"/>
  <c r="AH23" i="53"/>
  <c r="AH22" i="51"/>
  <c r="AH19" i="51"/>
  <c r="AH24" i="51"/>
  <c r="AH20" i="52"/>
  <c r="AH23" i="52"/>
  <c r="AH22" i="52"/>
  <c r="AH23" i="50"/>
  <c r="AH20" i="45"/>
  <c r="BA20" i="57"/>
  <c r="AX24" i="57"/>
  <c r="AG13" i="57"/>
  <c r="Q24" i="57"/>
  <c r="L24" i="57"/>
  <c r="M24" i="57"/>
  <c r="AO24" i="57"/>
  <c r="AF24" i="57"/>
  <c r="W24" i="57"/>
  <c r="H24" i="57"/>
  <c r="I24" i="57"/>
  <c r="X13" i="57"/>
  <c r="AE26" i="56"/>
  <c r="V26" i="56"/>
  <c r="M26" i="56"/>
  <c r="H26" i="56"/>
  <c r="I26" i="56"/>
  <c r="AG26" i="56"/>
  <c r="W13" i="56"/>
  <c r="X26" i="56"/>
  <c r="N13" i="56"/>
  <c r="AE25" i="54"/>
  <c r="V25" i="54"/>
  <c r="M25" i="54"/>
  <c r="H25" i="54"/>
  <c r="I25" i="54"/>
  <c r="AG25" i="54"/>
  <c r="W13" i="54"/>
  <c r="N13" i="54"/>
  <c r="AE24" i="53"/>
  <c r="V24" i="53"/>
  <c r="M24" i="53"/>
  <c r="H24" i="53"/>
  <c r="I24" i="53"/>
  <c r="AG24" i="53"/>
  <c r="W13" i="53"/>
  <c r="X24" i="53"/>
  <c r="N13" i="53"/>
  <c r="AE24" i="52"/>
  <c r="V24" i="52"/>
  <c r="M24" i="52"/>
  <c r="H24" i="52"/>
  <c r="I24" i="52"/>
  <c r="AG24" i="52"/>
  <c r="W13" i="52"/>
  <c r="N13" i="52"/>
  <c r="AE20" i="51"/>
  <c r="V20" i="51"/>
  <c r="M20" i="51"/>
  <c r="H20" i="51"/>
  <c r="I20" i="51"/>
  <c r="AG20" i="51"/>
  <c r="W13" i="51"/>
  <c r="N13" i="51"/>
  <c r="AE28" i="50"/>
  <c r="V28" i="50"/>
  <c r="M28" i="50"/>
  <c r="H28" i="50"/>
  <c r="I28" i="50"/>
  <c r="W13" i="50"/>
  <c r="N13" i="50"/>
  <c r="W13" i="45"/>
  <c r="N13" i="45"/>
  <c r="X25" i="56"/>
  <c r="Y25" i="56"/>
  <c r="X19" i="56"/>
  <c r="Y19" i="56"/>
  <c r="X20" i="56"/>
  <c r="Y20" i="56"/>
  <c r="X28" i="56"/>
  <c r="Y28" i="56"/>
  <c r="X27" i="56"/>
  <c r="Y27" i="56"/>
  <c r="X23" i="56"/>
  <c r="Y23" i="56"/>
  <c r="X30" i="56"/>
  <c r="Y30" i="56"/>
  <c r="X21" i="56"/>
  <c r="Y21" i="56"/>
  <c r="X24" i="56"/>
  <c r="Y24" i="56"/>
  <c r="X22" i="56"/>
  <c r="Y22" i="56"/>
  <c r="X29" i="56"/>
  <c r="Y29" i="56"/>
  <c r="O28" i="56"/>
  <c r="P28" i="56"/>
  <c r="O27" i="56"/>
  <c r="P27" i="56"/>
  <c r="O23" i="56"/>
  <c r="P23" i="56"/>
  <c r="O30" i="56"/>
  <c r="P30" i="56"/>
  <c r="O21" i="56"/>
  <c r="P21" i="56"/>
  <c r="O24" i="56"/>
  <c r="P24" i="56"/>
  <c r="O29" i="56"/>
  <c r="P29" i="56"/>
  <c r="O20" i="56"/>
  <c r="P20" i="56"/>
  <c r="O25" i="56"/>
  <c r="P25" i="56"/>
  <c r="O22" i="56"/>
  <c r="P22" i="56"/>
  <c r="O19" i="56"/>
  <c r="P19" i="56"/>
  <c r="O25" i="54"/>
  <c r="P25" i="54"/>
  <c r="O21" i="54"/>
  <c r="P21" i="54"/>
  <c r="O20" i="54"/>
  <c r="P20" i="54"/>
  <c r="O27" i="54"/>
  <c r="P27" i="54"/>
  <c r="O24" i="54"/>
  <c r="P24" i="54"/>
  <c r="O19" i="54"/>
  <c r="P19" i="54"/>
  <c r="O22" i="54"/>
  <c r="P22" i="54"/>
  <c r="O26" i="54"/>
  <c r="P26" i="54"/>
  <c r="O23" i="54"/>
  <c r="P23" i="54"/>
  <c r="X26" i="54"/>
  <c r="Y26" i="54"/>
  <c r="X23" i="54"/>
  <c r="Y23" i="54"/>
  <c r="X22" i="54"/>
  <c r="Y22" i="54"/>
  <c r="X21" i="54"/>
  <c r="Y21" i="54"/>
  <c r="X20" i="54"/>
  <c r="Y20" i="54"/>
  <c r="X27" i="54"/>
  <c r="Y27" i="54"/>
  <c r="X24" i="54"/>
  <c r="Y24" i="54"/>
  <c r="X19" i="54"/>
  <c r="Y19" i="54"/>
  <c r="O22" i="53"/>
  <c r="P22" i="53"/>
  <c r="O20" i="53"/>
  <c r="P20" i="53"/>
  <c r="O19" i="53"/>
  <c r="P19" i="53"/>
  <c r="O25" i="53"/>
  <c r="P25" i="53"/>
  <c r="O23" i="53"/>
  <c r="P23" i="53"/>
  <c r="O21" i="53"/>
  <c r="P21" i="53"/>
  <c r="X22" i="53"/>
  <c r="Y22" i="53"/>
  <c r="X21" i="53"/>
  <c r="Y21" i="53"/>
  <c r="X20" i="53"/>
  <c r="Y20" i="53"/>
  <c r="X19" i="53"/>
  <c r="Y19" i="53"/>
  <c r="X25" i="53"/>
  <c r="Y25" i="53"/>
  <c r="X23" i="53"/>
  <c r="Y23" i="53"/>
  <c r="O19" i="51"/>
  <c r="P19" i="51"/>
  <c r="O29" i="51"/>
  <c r="P29" i="51"/>
  <c r="O21" i="51"/>
  <c r="P21" i="51"/>
  <c r="O28" i="51"/>
  <c r="P28" i="51"/>
  <c r="O26" i="51"/>
  <c r="P26" i="51"/>
  <c r="O25" i="51"/>
  <c r="P25" i="51"/>
  <c r="O23" i="51"/>
  <c r="P23" i="51"/>
  <c r="O24" i="51"/>
  <c r="P24" i="51"/>
  <c r="O22" i="51"/>
  <c r="P22" i="51"/>
  <c r="O27" i="51"/>
  <c r="P27" i="51"/>
  <c r="X27" i="51"/>
  <c r="Y27" i="51"/>
  <c r="X23" i="51"/>
  <c r="Y23" i="51"/>
  <c r="X19" i="51"/>
  <c r="Y19" i="51"/>
  <c r="X29" i="51"/>
  <c r="Y29" i="51"/>
  <c r="X21" i="51"/>
  <c r="Y21" i="51"/>
  <c r="X28" i="51"/>
  <c r="Y28" i="51"/>
  <c r="X26" i="51"/>
  <c r="Y26" i="51"/>
  <c r="X25" i="51"/>
  <c r="Y25" i="51"/>
  <c r="X24" i="51"/>
  <c r="Y24" i="51"/>
  <c r="X22" i="51"/>
  <c r="Y22" i="51"/>
  <c r="X24" i="52"/>
  <c r="Y24" i="52"/>
  <c r="X28" i="52"/>
  <c r="Y28" i="52"/>
  <c r="X27" i="52"/>
  <c r="Y27" i="52"/>
  <c r="X25" i="52"/>
  <c r="Y25" i="52"/>
  <c r="X19" i="52"/>
  <c r="Y19" i="52"/>
  <c r="X20" i="52"/>
  <c r="Y20" i="52"/>
  <c r="X26" i="52"/>
  <c r="Y26" i="52"/>
  <c r="X22" i="52"/>
  <c r="Y22" i="52"/>
  <c r="X21" i="52"/>
  <c r="Y21" i="52"/>
  <c r="X23" i="52"/>
  <c r="Y23" i="52"/>
  <c r="O24" i="52"/>
  <c r="P24" i="52"/>
  <c r="O27" i="52"/>
  <c r="P27" i="52"/>
  <c r="O25" i="52"/>
  <c r="P25" i="52"/>
  <c r="O20" i="52"/>
  <c r="P20" i="52"/>
  <c r="O26" i="52"/>
  <c r="P26" i="52"/>
  <c r="O19" i="52"/>
  <c r="P19" i="52"/>
  <c r="O22" i="52"/>
  <c r="P22" i="52"/>
  <c r="O21" i="52"/>
  <c r="P21" i="52"/>
  <c r="O23" i="52"/>
  <c r="P23" i="52"/>
  <c r="O28" i="52"/>
  <c r="P28" i="52"/>
  <c r="X20" i="50"/>
  <c r="Y20" i="50"/>
  <c r="X22" i="50"/>
  <c r="Y22" i="50"/>
  <c r="X24" i="50"/>
  <c r="Y24" i="50"/>
  <c r="X29" i="50"/>
  <c r="Y29" i="50"/>
  <c r="X23" i="50"/>
  <c r="Y23" i="50"/>
  <c r="X31" i="50"/>
  <c r="Y31" i="50"/>
  <c r="X26" i="50"/>
  <c r="Y26" i="50"/>
  <c r="X25" i="50"/>
  <c r="Y25" i="50"/>
  <c r="X30" i="50"/>
  <c r="Y30" i="50"/>
  <c r="X19" i="50"/>
  <c r="Y19" i="50"/>
  <c r="X27" i="50"/>
  <c r="Y27" i="50"/>
  <c r="X21" i="50"/>
  <c r="Y21" i="50"/>
  <c r="O28" i="50"/>
  <c r="P28" i="50"/>
  <c r="O27" i="50"/>
  <c r="P27" i="50"/>
  <c r="O21" i="50"/>
  <c r="P21" i="50"/>
  <c r="O29" i="50"/>
  <c r="P29" i="50"/>
  <c r="O23" i="50"/>
  <c r="P23" i="50"/>
  <c r="O31" i="50"/>
  <c r="P31" i="50"/>
  <c r="O20" i="50"/>
  <c r="P20" i="50"/>
  <c r="O26" i="50"/>
  <c r="P26" i="50"/>
  <c r="O22" i="50"/>
  <c r="P22" i="50"/>
  <c r="O25" i="50"/>
  <c r="P25" i="50"/>
  <c r="O24" i="50"/>
  <c r="P24" i="50"/>
  <c r="O30" i="50"/>
  <c r="P30" i="50"/>
  <c r="O19" i="50"/>
  <c r="P19" i="50"/>
  <c r="X21" i="45"/>
  <c r="Y21" i="45"/>
  <c r="X20" i="45"/>
  <c r="Y20" i="45"/>
  <c r="X19" i="45"/>
  <c r="Y19" i="45"/>
  <c r="X22" i="45"/>
  <c r="Y22" i="45"/>
  <c r="X24" i="45"/>
  <c r="Y24" i="45"/>
  <c r="X25" i="45"/>
  <c r="Y25" i="45"/>
  <c r="O25" i="45"/>
  <c r="P25" i="45"/>
  <c r="O24" i="45"/>
  <c r="P24" i="45"/>
  <c r="O20" i="45"/>
  <c r="P20" i="45"/>
  <c r="O21" i="45"/>
  <c r="P21" i="45"/>
  <c r="O22" i="45"/>
  <c r="P22" i="45"/>
  <c r="O19" i="45"/>
  <c r="P19" i="45"/>
  <c r="AH25" i="57"/>
  <c r="AI25" i="57"/>
  <c r="AH21" i="57"/>
  <c r="AI21" i="57"/>
  <c r="AH19" i="57"/>
  <c r="AI19" i="57"/>
  <c r="AH23" i="57"/>
  <c r="AI23" i="57"/>
  <c r="AH20" i="57"/>
  <c r="AI20" i="57"/>
  <c r="AH22" i="57"/>
  <c r="AI22" i="57"/>
  <c r="Y24" i="57"/>
  <c r="Z24" i="57"/>
  <c r="Y21" i="57"/>
  <c r="Z21" i="57"/>
  <c r="Y19" i="57"/>
  <c r="Z19" i="57"/>
  <c r="Y20" i="57"/>
  <c r="Z20" i="57"/>
  <c r="Y22" i="57"/>
  <c r="Z22" i="57"/>
  <c r="Y25" i="57"/>
  <c r="Z25" i="57"/>
  <c r="Y23" i="57"/>
  <c r="Z23" i="57"/>
  <c r="AH25" i="54"/>
  <c r="AI19" i="54"/>
  <c r="AJ19" i="54"/>
  <c r="R22" i="57"/>
  <c r="S22" i="57"/>
  <c r="R19" i="57"/>
  <c r="S19" i="57"/>
  <c r="R25" i="57"/>
  <c r="S25" i="57"/>
  <c r="R23" i="57"/>
  <c r="S23" i="57"/>
  <c r="R21" i="57"/>
  <c r="S21" i="57"/>
  <c r="R20" i="57"/>
  <c r="S20" i="57"/>
  <c r="R24" i="57"/>
  <c r="AH26" i="56"/>
  <c r="AI26" i="56"/>
  <c r="Y26" i="56"/>
  <c r="Y24" i="53"/>
  <c r="AH24" i="53"/>
  <c r="AH20" i="51"/>
  <c r="AH24" i="52"/>
  <c r="AZ24" i="57"/>
  <c r="BA24" i="57"/>
  <c r="AH24" i="57"/>
  <c r="AI24" i="57"/>
  <c r="AQ24" i="57"/>
  <c r="AR24" i="57"/>
  <c r="O26" i="56"/>
  <c r="P26" i="56"/>
  <c r="X25" i="54"/>
  <c r="Y25" i="54"/>
  <c r="O24" i="53"/>
  <c r="P24" i="53"/>
  <c r="X20" i="51"/>
  <c r="Y20" i="51"/>
  <c r="O20" i="51"/>
  <c r="P20" i="51"/>
  <c r="X28" i="50"/>
  <c r="Y28" i="50"/>
  <c r="AG28" i="50"/>
  <c r="AH28" i="50"/>
  <c r="AG23" i="45"/>
  <c r="AE23" i="45"/>
  <c r="X23" i="45"/>
  <c r="V23" i="45"/>
  <c r="M23" i="45"/>
  <c r="H23" i="45"/>
  <c r="I23" i="45"/>
  <c r="AI22" i="54"/>
  <c r="AJ22" i="54"/>
  <c r="AI26" i="54"/>
  <c r="AJ26" i="54"/>
  <c r="AI27" i="54"/>
  <c r="AJ27" i="54"/>
  <c r="Q28" i="50"/>
  <c r="R28" i="50"/>
  <c r="BB20" i="57"/>
  <c r="BC20" i="57"/>
  <c r="AI23" i="54"/>
  <c r="AJ23" i="54"/>
  <c r="AI24" i="54"/>
  <c r="AJ24" i="54"/>
  <c r="AI25" i="54"/>
  <c r="AJ25" i="54"/>
  <c r="AI21" i="54"/>
  <c r="AJ21" i="54"/>
  <c r="AI20" i="54"/>
  <c r="AJ20" i="54"/>
  <c r="AS22" i="57"/>
  <c r="AT22" i="57"/>
  <c r="AS19" i="57"/>
  <c r="AT19" i="57"/>
  <c r="AS25" i="57"/>
  <c r="AT25" i="57"/>
  <c r="AS23" i="57"/>
  <c r="AT23" i="57"/>
  <c r="AS20" i="57"/>
  <c r="AT20" i="57"/>
  <c r="AS21" i="57"/>
  <c r="AT21" i="57"/>
  <c r="AA23" i="57"/>
  <c r="AB23" i="57"/>
  <c r="AA25" i="57"/>
  <c r="AB25" i="57"/>
  <c r="AA21" i="57"/>
  <c r="AB21" i="57"/>
  <c r="AA20" i="57"/>
  <c r="AB20" i="57"/>
  <c r="AA19" i="57"/>
  <c r="AB19" i="57"/>
  <c r="AA22" i="57"/>
  <c r="AB22" i="57"/>
  <c r="AJ20" i="57"/>
  <c r="AK20" i="57"/>
  <c r="AJ23" i="57"/>
  <c r="AK23" i="57"/>
  <c r="AJ25" i="57"/>
  <c r="AK25" i="57"/>
  <c r="AJ22" i="57"/>
  <c r="AK22" i="57"/>
  <c r="AJ21" i="57"/>
  <c r="AK21" i="57"/>
  <c r="AJ19" i="57"/>
  <c r="AK19" i="57"/>
  <c r="BB23" i="57"/>
  <c r="BC23" i="57"/>
  <c r="BB21" i="57"/>
  <c r="BC21" i="57"/>
  <c r="BB22" i="57"/>
  <c r="BC22" i="57"/>
  <c r="BB19" i="57"/>
  <c r="BC19" i="57"/>
  <c r="Z29" i="56"/>
  <c r="AA29" i="56"/>
  <c r="Z23" i="56"/>
  <c r="AA23" i="56"/>
  <c r="Z24" i="56"/>
  <c r="AA24" i="56"/>
  <c r="Z30" i="56"/>
  <c r="AA30" i="56"/>
  <c r="Z22" i="56"/>
  <c r="AA22" i="56"/>
  <c r="Z25" i="56"/>
  <c r="AA25" i="56"/>
  <c r="Z27" i="56"/>
  <c r="AA27" i="56"/>
  <c r="Z28" i="56"/>
  <c r="AA28" i="56"/>
  <c r="Z21" i="56"/>
  <c r="AA21" i="56"/>
  <c r="Z19" i="56"/>
  <c r="AA19" i="56"/>
  <c r="Z20" i="56"/>
  <c r="AA20" i="56"/>
  <c r="AI22" i="56"/>
  <c r="AJ22" i="56"/>
  <c r="AI23" i="56"/>
  <c r="AJ23" i="56"/>
  <c r="AI19" i="56"/>
  <c r="AJ19" i="56"/>
  <c r="AI21" i="56"/>
  <c r="AJ21" i="56"/>
  <c r="AI28" i="56"/>
  <c r="AJ28" i="56"/>
  <c r="AI27" i="56"/>
  <c r="AJ27" i="56"/>
  <c r="AI20" i="56"/>
  <c r="AJ20" i="56"/>
  <c r="AI24" i="56"/>
  <c r="AJ24" i="56"/>
  <c r="AI29" i="56"/>
  <c r="AJ29" i="56"/>
  <c r="AI30" i="56"/>
  <c r="AJ30" i="56"/>
  <c r="AI25" i="56"/>
  <c r="AJ25" i="56"/>
  <c r="Q26" i="56"/>
  <c r="R26" i="56"/>
  <c r="Z26" i="56"/>
  <c r="AA26" i="56"/>
  <c r="AJ26" i="56"/>
  <c r="C26" i="56"/>
  <c r="Q24" i="56"/>
  <c r="R24" i="56"/>
  <c r="C24" i="56"/>
  <c r="Q22" i="56"/>
  <c r="R22" i="56"/>
  <c r="C22" i="56"/>
  <c r="Q21" i="56"/>
  <c r="R21" i="56"/>
  <c r="C21" i="56"/>
  <c r="Q23" i="56"/>
  <c r="R23" i="56"/>
  <c r="Q27" i="56"/>
  <c r="R27" i="56"/>
  <c r="C27" i="56"/>
  <c r="Q20" i="56"/>
  <c r="R20" i="56"/>
  <c r="C20" i="56"/>
  <c r="Q25" i="56"/>
  <c r="R25" i="56"/>
  <c r="C25" i="56"/>
  <c r="Q19" i="56"/>
  <c r="R19" i="56"/>
  <c r="Q29" i="56"/>
  <c r="R29" i="56"/>
  <c r="C29" i="56"/>
  <c r="Q28" i="56"/>
  <c r="R28" i="56"/>
  <c r="Q30" i="56"/>
  <c r="R30" i="56"/>
  <c r="AI19" i="55"/>
  <c r="AJ19" i="55"/>
  <c r="AI21" i="55"/>
  <c r="AJ21" i="55"/>
  <c r="AI23" i="55"/>
  <c r="AJ23" i="55"/>
  <c r="Z19" i="55"/>
  <c r="AA19" i="55"/>
  <c r="Z21" i="55"/>
  <c r="AA21" i="55"/>
  <c r="Z23" i="55"/>
  <c r="AA23" i="55"/>
  <c r="Q23" i="55"/>
  <c r="R23" i="55"/>
  <c r="C23" i="55"/>
  <c r="Q21" i="55"/>
  <c r="R21" i="55"/>
  <c r="C21" i="55"/>
  <c r="Q19" i="55"/>
  <c r="R19" i="55"/>
  <c r="C19" i="55"/>
  <c r="Q26" i="54"/>
  <c r="R26" i="54"/>
  <c r="Z26" i="54"/>
  <c r="AA26" i="54"/>
  <c r="C26" i="54"/>
  <c r="Q22" i="54"/>
  <c r="R22" i="54"/>
  <c r="Q23" i="54"/>
  <c r="R23" i="54"/>
  <c r="Q20" i="54"/>
  <c r="R20" i="54"/>
  <c r="Q27" i="54"/>
  <c r="R27" i="54"/>
  <c r="Z27" i="54"/>
  <c r="AA27" i="54"/>
  <c r="C27" i="54"/>
  <c r="Q21" i="54"/>
  <c r="R21" i="54"/>
  <c r="Q19" i="54"/>
  <c r="R19" i="54"/>
  <c r="Q24" i="54"/>
  <c r="R24" i="54"/>
  <c r="Z25" i="54"/>
  <c r="AA25" i="54"/>
  <c r="Z22" i="54"/>
  <c r="AA22" i="54"/>
  <c r="Z19" i="54"/>
  <c r="AA19" i="54"/>
  <c r="Z21" i="54"/>
  <c r="AA21" i="54"/>
  <c r="Z24" i="54"/>
  <c r="AA24" i="54"/>
  <c r="Z20" i="54"/>
  <c r="AA20" i="54"/>
  <c r="Z23" i="54"/>
  <c r="AA23" i="54"/>
  <c r="Q25" i="54"/>
  <c r="R25" i="54"/>
  <c r="Q25" i="53"/>
  <c r="R25" i="53"/>
  <c r="Q19" i="53"/>
  <c r="R19" i="53"/>
  <c r="Q20" i="53"/>
  <c r="R20" i="53"/>
  <c r="Q23" i="53"/>
  <c r="R23" i="53"/>
  <c r="Z23" i="53"/>
  <c r="AA23" i="53"/>
  <c r="AI23" i="53"/>
  <c r="AJ23" i="53"/>
  <c r="C23" i="53"/>
  <c r="Q22" i="53"/>
  <c r="R22" i="53"/>
  <c r="Z22" i="53"/>
  <c r="AA22" i="53"/>
  <c r="AI22" i="53"/>
  <c r="AJ22" i="53"/>
  <c r="C22" i="53"/>
  <c r="Q21" i="53"/>
  <c r="R21" i="53"/>
  <c r="Z20" i="53"/>
  <c r="AA20" i="53"/>
  <c r="Z21" i="53"/>
  <c r="AA21" i="53"/>
  <c r="Z19" i="53"/>
  <c r="AA19" i="53"/>
  <c r="Z25" i="53"/>
  <c r="AA25" i="53"/>
  <c r="AI19" i="53"/>
  <c r="AJ19" i="53"/>
  <c r="AI20" i="53"/>
  <c r="AJ20" i="53"/>
  <c r="AI21" i="53"/>
  <c r="AJ21" i="53"/>
  <c r="AI25" i="53"/>
  <c r="AJ25" i="53"/>
  <c r="Z24" i="53"/>
  <c r="AA24" i="53"/>
  <c r="AI24" i="53"/>
  <c r="AJ24" i="53"/>
  <c r="Q24" i="53"/>
  <c r="R24" i="53"/>
  <c r="C24" i="53"/>
  <c r="Q21" i="51"/>
  <c r="R21" i="51"/>
  <c r="Q27" i="51"/>
  <c r="R27" i="51"/>
  <c r="Q23" i="51"/>
  <c r="R23" i="51"/>
  <c r="Q19" i="51"/>
  <c r="R19" i="51"/>
  <c r="Q28" i="51"/>
  <c r="R28" i="51"/>
  <c r="Q25" i="51"/>
  <c r="R25" i="51"/>
  <c r="Q29" i="51"/>
  <c r="R29" i="51"/>
  <c r="Q26" i="51"/>
  <c r="R26" i="51"/>
  <c r="Q22" i="51"/>
  <c r="R22" i="51"/>
  <c r="Q24" i="51"/>
  <c r="R24" i="51"/>
  <c r="Z19" i="51"/>
  <c r="AA19" i="51"/>
  <c r="Z28" i="51"/>
  <c r="AA28" i="51"/>
  <c r="Z27" i="51"/>
  <c r="AA27" i="51"/>
  <c r="Z24" i="51"/>
  <c r="AA24" i="51"/>
  <c r="Z29" i="51"/>
  <c r="AA29" i="51"/>
  <c r="Z25" i="51"/>
  <c r="AA25" i="51"/>
  <c r="Z21" i="51"/>
  <c r="AA21" i="51"/>
  <c r="Z22" i="51"/>
  <c r="AA22" i="51"/>
  <c r="Z26" i="51"/>
  <c r="AA26" i="51"/>
  <c r="Z23" i="51"/>
  <c r="AA23" i="51"/>
  <c r="AI19" i="51"/>
  <c r="AJ19" i="51"/>
  <c r="AI21" i="51"/>
  <c r="AJ21" i="51"/>
  <c r="AI26" i="51"/>
  <c r="AJ26" i="51"/>
  <c r="AI23" i="51"/>
  <c r="AJ23" i="51"/>
  <c r="AI24" i="51"/>
  <c r="AJ24" i="51"/>
  <c r="AI28" i="51"/>
  <c r="AJ28" i="51"/>
  <c r="AI22" i="51"/>
  <c r="AJ22" i="51"/>
  <c r="AI27" i="51"/>
  <c r="AJ27" i="51"/>
  <c r="AI25" i="51"/>
  <c r="AJ25" i="51"/>
  <c r="AI20" i="51"/>
  <c r="AJ20" i="51"/>
  <c r="Q20" i="51"/>
  <c r="R20" i="51"/>
  <c r="Z20" i="51"/>
  <c r="AA20" i="51"/>
  <c r="AI21" i="52"/>
  <c r="AJ21" i="52"/>
  <c r="AI22" i="52"/>
  <c r="AJ22" i="52"/>
  <c r="AI26" i="52"/>
  <c r="AJ26" i="52"/>
  <c r="AI20" i="52"/>
  <c r="AJ20" i="52"/>
  <c r="AI28" i="52"/>
  <c r="AJ28" i="52"/>
  <c r="AI25" i="52"/>
  <c r="AJ25" i="52"/>
  <c r="AI23" i="52"/>
  <c r="AJ23" i="52"/>
  <c r="AI19" i="52"/>
  <c r="AJ19" i="52"/>
  <c r="AI27" i="52"/>
  <c r="AJ27" i="52"/>
  <c r="Z21" i="52"/>
  <c r="AA21" i="52"/>
  <c r="Z25" i="52"/>
  <c r="AA25" i="52"/>
  <c r="Z26" i="52"/>
  <c r="AA26" i="52"/>
  <c r="Z20" i="52"/>
  <c r="AA20" i="52"/>
  <c r="Z19" i="52"/>
  <c r="AA19" i="52"/>
  <c r="Z27" i="52"/>
  <c r="AA27" i="52"/>
  <c r="Z22" i="52"/>
  <c r="AA22" i="52"/>
  <c r="Z28" i="52"/>
  <c r="AA28" i="52"/>
  <c r="Z23" i="52"/>
  <c r="AA23" i="52"/>
  <c r="Q27" i="52"/>
  <c r="R27" i="52"/>
  <c r="C27" i="52"/>
  <c r="Q28" i="52"/>
  <c r="R28" i="52"/>
  <c r="C28" i="52"/>
  <c r="Q25" i="52"/>
  <c r="R25" i="52"/>
  <c r="Q20" i="52"/>
  <c r="R20" i="52"/>
  <c r="C20" i="52"/>
  <c r="Q26" i="52"/>
  <c r="R26" i="52"/>
  <c r="Q23" i="52"/>
  <c r="R23" i="52"/>
  <c r="Q22" i="52"/>
  <c r="R22" i="52"/>
  <c r="C22" i="52"/>
  <c r="Q21" i="52"/>
  <c r="R21" i="52"/>
  <c r="C21" i="52"/>
  <c r="Q19" i="52"/>
  <c r="R19" i="52"/>
  <c r="Z24" i="52"/>
  <c r="AA24" i="52"/>
  <c r="AI24" i="52"/>
  <c r="AJ24" i="52"/>
  <c r="Q24" i="52"/>
  <c r="R24" i="52"/>
  <c r="AI22" i="50"/>
  <c r="AJ22" i="50"/>
  <c r="AI29" i="50"/>
  <c r="AJ29" i="50"/>
  <c r="AI23" i="50"/>
  <c r="AJ23" i="50"/>
  <c r="AI25" i="50"/>
  <c r="AJ25" i="50"/>
  <c r="AI24" i="50"/>
  <c r="AJ24" i="50"/>
  <c r="AI26" i="50"/>
  <c r="AJ26" i="50"/>
  <c r="AI20" i="50"/>
  <c r="AJ20" i="50"/>
  <c r="AI30" i="50"/>
  <c r="AJ30" i="50"/>
  <c r="AI31" i="50"/>
  <c r="AJ31" i="50"/>
  <c r="AI21" i="50"/>
  <c r="AJ21" i="50"/>
  <c r="AI27" i="50"/>
  <c r="AJ27" i="50"/>
  <c r="AI19" i="50"/>
  <c r="AJ19" i="50"/>
  <c r="Q26" i="50"/>
  <c r="R26" i="50"/>
  <c r="Z26" i="50"/>
  <c r="AA26" i="50"/>
  <c r="C26" i="50"/>
  <c r="Q22" i="50"/>
  <c r="R22" i="50"/>
  <c r="Q19" i="50"/>
  <c r="R19" i="50"/>
  <c r="Z19" i="50"/>
  <c r="AA19" i="50"/>
  <c r="C19" i="50"/>
  <c r="Q24" i="50"/>
  <c r="R24" i="50"/>
  <c r="Q21" i="50"/>
  <c r="R21" i="50"/>
  <c r="Q20" i="50"/>
  <c r="R20" i="50"/>
  <c r="Q30" i="50"/>
  <c r="R30" i="50"/>
  <c r="Z30" i="50"/>
  <c r="AA30" i="50"/>
  <c r="C30" i="50"/>
  <c r="Q29" i="50"/>
  <c r="R29" i="50"/>
  <c r="Z29" i="50"/>
  <c r="AA29" i="50"/>
  <c r="C29" i="50"/>
  <c r="Q23" i="50"/>
  <c r="R23" i="50"/>
  <c r="Z23" i="50"/>
  <c r="AA23" i="50"/>
  <c r="C23" i="50"/>
  <c r="Q25" i="50"/>
  <c r="R25" i="50"/>
  <c r="Q27" i="50"/>
  <c r="R27" i="50"/>
  <c r="Z27" i="50"/>
  <c r="AA27" i="50"/>
  <c r="C27" i="50"/>
  <c r="Q31" i="50"/>
  <c r="R31" i="50"/>
  <c r="Z20" i="50"/>
  <c r="AA20" i="50"/>
  <c r="Z22" i="50"/>
  <c r="AA22" i="50"/>
  <c r="Z21" i="50"/>
  <c r="AA21" i="50"/>
  <c r="Z31" i="50"/>
  <c r="AA31" i="50"/>
  <c r="Z25" i="50"/>
  <c r="AA25" i="50"/>
  <c r="Z24" i="50"/>
  <c r="AA24" i="50"/>
  <c r="Z28" i="50"/>
  <c r="AA28" i="50"/>
  <c r="AI28" i="50"/>
  <c r="AJ28" i="50"/>
  <c r="BB24" i="57"/>
  <c r="BC24" i="57"/>
  <c r="AS24" i="57"/>
  <c r="AT24" i="57"/>
  <c r="AA24" i="57"/>
  <c r="AB24" i="57"/>
  <c r="AJ24" i="57"/>
  <c r="AK24" i="57"/>
  <c r="S24" i="57"/>
  <c r="AH23" i="45"/>
  <c r="Y23" i="45"/>
  <c r="O23" i="45"/>
  <c r="P23" i="45"/>
  <c r="B23" i="55"/>
  <c r="C19" i="56"/>
  <c r="C23" i="56"/>
  <c r="C30" i="56"/>
  <c r="C28" i="56"/>
  <c r="B22" i="55"/>
  <c r="B19" i="55"/>
  <c r="B20" i="55"/>
  <c r="C24" i="52"/>
  <c r="C20" i="54"/>
  <c r="C23" i="54"/>
  <c r="C19" i="54"/>
  <c r="C21" i="54"/>
  <c r="C25" i="54"/>
  <c r="C22" i="54"/>
  <c r="C24" i="54"/>
  <c r="B23" i="54"/>
  <c r="B21" i="54"/>
  <c r="C19" i="53"/>
  <c r="C25" i="53"/>
  <c r="C21" i="53"/>
  <c r="C20" i="53"/>
  <c r="B21" i="53"/>
  <c r="C19" i="51"/>
  <c r="C28" i="51"/>
  <c r="C21" i="51"/>
  <c r="C20" i="51"/>
  <c r="C22" i="51"/>
  <c r="C23" i="51"/>
  <c r="C25" i="51"/>
  <c r="C24" i="51"/>
  <c r="C29" i="51"/>
  <c r="C26" i="51"/>
  <c r="C27" i="51"/>
  <c r="B28" i="51"/>
  <c r="B22" i="51"/>
  <c r="B26" i="51"/>
  <c r="C25" i="52"/>
  <c r="C19" i="52"/>
  <c r="C23" i="52"/>
  <c r="C26" i="52"/>
  <c r="B22" i="52"/>
  <c r="C25" i="50"/>
  <c r="C21" i="50"/>
  <c r="C20" i="50"/>
  <c r="C22" i="50"/>
  <c r="C28" i="50"/>
  <c r="C24" i="50"/>
  <c r="C31" i="50"/>
  <c r="B25" i="50"/>
  <c r="B20" i="50"/>
  <c r="B29" i="50"/>
  <c r="B24" i="50"/>
  <c r="B27" i="50"/>
  <c r="C21" i="57"/>
  <c r="C19" i="57"/>
  <c r="C24" i="57"/>
  <c r="C22" i="57"/>
  <c r="C20" i="57"/>
  <c r="C23" i="57"/>
  <c r="AI25" i="45"/>
  <c r="AJ25" i="45"/>
  <c r="AI22" i="45"/>
  <c r="AJ22" i="45"/>
  <c r="AI20" i="45"/>
  <c r="AJ20" i="45"/>
  <c r="AI24" i="45"/>
  <c r="AJ24" i="45"/>
  <c r="AI21" i="45"/>
  <c r="AJ21" i="45"/>
  <c r="AI19" i="45"/>
  <c r="AJ19" i="45"/>
  <c r="Z20" i="45"/>
  <c r="AA20" i="45"/>
  <c r="Z24" i="45"/>
  <c r="AA24" i="45"/>
  <c r="Z25" i="45"/>
  <c r="AA25" i="45"/>
  <c r="Z21" i="45"/>
  <c r="AA21" i="45"/>
  <c r="Z22" i="45"/>
  <c r="AA22" i="45"/>
  <c r="Z19" i="45"/>
  <c r="AA19" i="45"/>
  <c r="Q23" i="45"/>
  <c r="R23" i="45"/>
  <c r="Q21" i="45"/>
  <c r="R21" i="45"/>
  <c r="C21" i="45"/>
  <c r="Q20" i="45"/>
  <c r="R20" i="45"/>
  <c r="C20" i="45"/>
  <c r="Q25" i="45"/>
  <c r="R25" i="45"/>
  <c r="Q24" i="45"/>
  <c r="R24" i="45"/>
  <c r="C24" i="45"/>
  <c r="Q19" i="45"/>
  <c r="R19" i="45"/>
  <c r="C19" i="45"/>
  <c r="Q22" i="45"/>
  <c r="R22" i="45"/>
  <c r="C22" i="45"/>
  <c r="AI23" i="45"/>
  <c r="AJ23" i="45"/>
  <c r="Z23" i="45"/>
  <c r="AA23" i="45"/>
  <c r="B19" i="56"/>
  <c r="B27" i="56"/>
  <c r="B23" i="56"/>
  <c r="B25" i="56"/>
  <c r="B24" i="56"/>
  <c r="B20" i="56"/>
  <c r="B22" i="56"/>
  <c r="B28" i="56"/>
  <c r="B29" i="56"/>
  <c r="B21" i="56"/>
  <c r="B26" i="56"/>
  <c r="B30" i="56"/>
  <c r="B27" i="54"/>
  <c r="B24" i="54"/>
  <c r="B26" i="54"/>
  <c r="B19" i="54"/>
  <c r="B20" i="54"/>
  <c r="B22" i="54"/>
  <c r="B25" i="54"/>
  <c r="B20" i="53"/>
  <c r="B23" i="53"/>
  <c r="B25" i="53"/>
  <c r="B22" i="53"/>
  <c r="B19" i="53"/>
  <c r="B24" i="53"/>
  <c r="B19" i="51"/>
  <c r="B23" i="51"/>
  <c r="B21" i="51"/>
  <c r="B20" i="51"/>
  <c r="B29" i="51"/>
  <c r="B25" i="51"/>
  <c r="B27" i="51"/>
  <c r="B24" i="51"/>
  <c r="B28" i="52"/>
  <c r="B21" i="52"/>
  <c r="B20" i="52"/>
  <c r="B27" i="52"/>
  <c r="B26" i="52"/>
  <c r="B23" i="52"/>
  <c r="B19" i="52"/>
  <c r="B25" i="52"/>
  <c r="B30" i="50"/>
  <c r="B22" i="50"/>
  <c r="B31" i="50"/>
  <c r="B19" i="50"/>
  <c r="B26" i="50"/>
  <c r="B21" i="50"/>
  <c r="B23" i="50"/>
  <c r="C25" i="45"/>
  <c r="C23" i="45"/>
  <c r="B19" i="57"/>
  <c r="B23" i="57"/>
  <c r="B21" i="57"/>
  <c r="B20" i="57"/>
  <c r="B22" i="57"/>
  <c r="B20" i="45"/>
  <c r="B24" i="45"/>
  <c r="B22" i="45"/>
  <c r="B23" i="45"/>
  <c r="B25" i="45"/>
  <c r="B19" i="45"/>
</calcChain>
</file>

<file path=xl/sharedStrings.xml><?xml version="1.0" encoding="utf-8"?>
<sst xmlns="http://schemas.openxmlformats.org/spreadsheetml/2006/main" count="550" uniqueCount="141">
  <si>
    <t>100-бальная система</t>
  </si>
  <si>
    <t>место</t>
  </si>
  <si>
    <t>баллы</t>
  </si>
  <si>
    <t>Итоговый результат</t>
  </si>
  <si>
    <t>Задание 3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</si>
  <si>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</si>
  <si>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</si>
  <si>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</si>
  <si>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</si>
  <si>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</si>
  <si>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</si>
  <si>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</si>
  <si>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</si>
  <si>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</si>
  <si>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</si>
  <si>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</si>
  <si>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</si>
  <si>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</si>
  <si>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</si>
  <si>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t>Главный судья______________ Смирнов А.А.</t>
  </si>
  <si>
    <t>Главный секретарь_________ Комарова М.Г.</t>
  </si>
  <si>
    <t>Задание 1.2
100 баллов</t>
  </si>
  <si>
    <t>Задание 1.1
100 баллов</t>
  </si>
  <si>
    <r>
      <t>ОГРН 1127799008754, ИНН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КПП 7719289698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771901001</t>
    </r>
  </si>
  <si>
    <t>16 - 18 июля 2021 года</t>
  </si>
  <si>
    <t>Первенство России по функциональному многоборью</t>
  </si>
  <si>
    <t>Вес</t>
  </si>
  <si>
    <t>5 минут</t>
  </si>
  <si>
    <t>Задание 2
100 баллов</t>
  </si>
  <si>
    <t>8 минут</t>
  </si>
  <si>
    <t>12 минут</t>
  </si>
  <si>
    <t>Женщины
35-39</t>
  </si>
  <si>
    <t>Женщины 35-39</t>
  </si>
  <si>
    <t>Мужчины
35-39</t>
  </si>
  <si>
    <t>Мужчины 35-39</t>
  </si>
  <si>
    <t>Мужчины 40-44</t>
  </si>
  <si>
    <t>Мужчины
40-44</t>
  </si>
  <si>
    <t>Женщины
40-44</t>
  </si>
  <si>
    <t>Женщины 40-44</t>
  </si>
  <si>
    <t>Женщины 45-49</t>
  </si>
  <si>
    <t>Женщины
45-49</t>
  </si>
  <si>
    <t>Мужчины 45-49</t>
  </si>
  <si>
    <t>Мужчины
45-49</t>
  </si>
  <si>
    <t>Женщины 50+</t>
  </si>
  <si>
    <t>Женщины
50+</t>
  </si>
  <si>
    <t>Мужчины 50+</t>
  </si>
  <si>
    <t>Мужчины
50+</t>
  </si>
  <si>
    <t>Команды</t>
  </si>
  <si>
    <t>Название</t>
  </si>
  <si>
    <t>10 минут</t>
  </si>
  <si>
    <t>18 минут</t>
  </si>
  <si>
    <t>Задание 2.1
100 баллов</t>
  </si>
  <si>
    <t>Задание 2.2
100 баллов</t>
  </si>
  <si>
    <t>Задание 3.1
100 баллов</t>
  </si>
  <si>
    <t>Задание 3.2
100 баллов</t>
  </si>
  <si>
    <t>Задание 4
100 баллов</t>
  </si>
  <si>
    <t>Гром</t>
  </si>
  <si>
    <t>TERFIT</t>
  </si>
  <si>
    <t>Изо всех сил</t>
  </si>
  <si>
    <t>Redyar</t>
  </si>
  <si>
    <t>Gangband</t>
  </si>
  <si>
    <t>Дикий спорт</t>
  </si>
  <si>
    <t>Гераклион</t>
  </si>
  <si>
    <t>Главный секретарь_________ Тулисова А.К.</t>
  </si>
  <si>
    <t>disq</t>
  </si>
  <si>
    <t>-</t>
  </si>
  <si>
    <t>Абдуллина Любовь</t>
  </si>
  <si>
    <t>Блажевич Анна</t>
  </si>
  <si>
    <t>Булыгина Ирина</t>
  </si>
  <si>
    <t>Киселева Мария</t>
  </si>
  <si>
    <t>Красильникова Тамара</t>
  </si>
  <si>
    <t>Миронова Елена</t>
  </si>
  <si>
    <t>Ускимбаева Екатерина</t>
  </si>
  <si>
    <t>Кузнецов Константин</t>
  </si>
  <si>
    <t>Аникиев Алексей</t>
  </si>
  <si>
    <t>Апрельский Артём</t>
  </si>
  <si>
    <t>Глазков Артём</t>
  </si>
  <si>
    <t>Глебов Василий</t>
  </si>
  <si>
    <t>Журин Иван</t>
  </si>
  <si>
    <t>Зиков Андрей</t>
  </si>
  <si>
    <t>Ларцев Александр</t>
  </si>
  <si>
    <t>Лукин Максим</t>
  </si>
  <si>
    <t>Попов Артём</t>
  </si>
  <si>
    <t>Присада Руслан</t>
  </si>
  <si>
    <t>Семёнов Алексей</t>
  </si>
  <si>
    <t>Шкляев Алексей</t>
  </si>
  <si>
    <t>Винокурова Елена</t>
  </si>
  <si>
    <t>Зубрилова Елизавета</t>
  </si>
  <si>
    <t>Кауфман Ольга</t>
  </si>
  <si>
    <t>Киселева Оксана</t>
  </si>
  <si>
    <t>Лаврикова Ольга</t>
  </si>
  <si>
    <t>Маланина Екатерина</t>
  </si>
  <si>
    <t>Павлова Мария</t>
  </si>
  <si>
    <t>Пермякова Юлия</t>
  </si>
  <si>
    <t>Романова Галина</t>
  </si>
  <si>
    <t>Шафоростова Ирина</t>
  </si>
  <si>
    <t>Бельков Максим</t>
  </si>
  <si>
    <t>Гарин Алексей</t>
  </si>
  <si>
    <t>Емельянов Руслан</t>
  </si>
  <si>
    <t>Ермилов Роман</t>
  </si>
  <si>
    <t>Ешмухамедов Тимур</t>
  </si>
  <si>
    <t>Копейкин Виталий</t>
  </si>
  <si>
    <t>Коржавин Дмитрий</t>
  </si>
  <si>
    <t>Куранов Александр</t>
  </si>
  <si>
    <t>Лепенин Александр</t>
  </si>
  <si>
    <t>Нуртдинов Ильнур</t>
  </si>
  <si>
    <t>Чигарев Константин</t>
  </si>
  <si>
    <t xml:space="preserve">Артемьева Елена </t>
  </si>
  <si>
    <t>Батрунова Людмила</t>
  </si>
  <si>
    <t>Имшенецкая Наталья</t>
  </si>
  <si>
    <t>Короткова Лариса</t>
  </si>
  <si>
    <t>Русакова Наталья</t>
  </si>
  <si>
    <t>Самгина Наталья</t>
  </si>
  <si>
    <t>Тимашова Наталья</t>
  </si>
  <si>
    <t>Ананьев Константин</t>
  </si>
  <si>
    <t>Щелчков Андрей</t>
  </si>
  <si>
    <t>Белорусов Сергей</t>
  </si>
  <si>
    <t>Белоцерковец Викентий</t>
  </si>
  <si>
    <t>Вечный Михаил</t>
  </si>
  <si>
    <t>Зернов Максим</t>
  </si>
  <si>
    <t>Михнев Андрей</t>
  </si>
  <si>
    <t>Панков Егений</t>
  </si>
  <si>
    <t>Петров Сергей</t>
  </si>
  <si>
    <t>Андреевская Евгения</t>
  </si>
  <si>
    <t>Ильина Наталья</t>
  </si>
  <si>
    <t>Новоселова Надежда</t>
  </si>
  <si>
    <t>Пирогова Вероника</t>
  </si>
  <si>
    <t>Соколова Екатерина</t>
  </si>
  <si>
    <t>Киселев Александр</t>
  </si>
  <si>
    <t>Дейников Андрей</t>
  </si>
  <si>
    <t>Карасев Кирилл</t>
  </si>
  <si>
    <t>Клышбаев Сергей</t>
  </si>
  <si>
    <t>Кочедаев Алексей</t>
  </si>
  <si>
    <t>Куракин Игорь</t>
  </si>
  <si>
    <t>Ларионов Александр</t>
  </si>
  <si>
    <t>Лукин Вячеслав</t>
  </si>
  <si>
    <t>Лясоха Алексей</t>
  </si>
  <si>
    <t>Никенин Вячеслав</t>
  </si>
  <si>
    <t>Никитин Виктор</t>
  </si>
  <si>
    <t>Тимофеев Алексей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</si>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</sst>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3"/>
    <xf numFmtId="0" fontId="7" fillId="0" borderId="3"/>
  </cellStyleXfs>
  <cellXfs count="53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Alignment="1"/>
    <xf numFmtId="0" fontId="1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8" borderId="4" xfId="0" applyFont="1" applyFill="1" applyBorder="1"/>
    <xf numFmtId="0" fontId="0" fillId="8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1" fillId="0" borderId="3" xfId="2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1" fillId="0" borderId="4" xfId="2" applyFont="1" applyBorder="1"/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D29" sqref="D29"/>
    </sheetView>
  </sheetViews>
  <sheetFormatPr defaultColWidth="14.44140625" defaultRowHeight="15" customHeight="1" x14ac:dyDescent="0.3"/>
  <cols>
    <col min="1" max="9" width="8.6640625" customWidth="1"/>
  </cols>
  <sheetData>
    <row r="1" spans="1:2" ht="14.4" x14ac:dyDescent="0.3">
      <c r="A1" s="37" t="s">
        <v>0</v>
      </c>
      <c r="B1" s="38"/>
    </row>
    <row r="2" spans="1:2" ht="14.4" x14ac:dyDescent="0.3">
      <c r="A2" s="1" t="s">
        <v>1</v>
      </c>
      <c r="B2" s="1" t="s">
        <v>2</v>
      </c>
    </row>
    <row r="3" spans="1:2" ht="14.4" x14ac:dyDescent="0.3">
      <c r="A3" s="2">
        <v>1</v>
      </c>
      <c r="B3" s="2">
        <v>100</v>
      </c>
    </row>
    <row r="4" spans="1:2" ht="14.4" x14ac:dyDescent="0.3">
      <c r="A4" s="2">
        <v>2</v>
      </c>
      <c r="B4" s="2">
        <v>95</v>
      </c>
    </row>
    <row r="5" spans="1:2" ht="14.4" x14ac:dyDescent="0.3">
      <c r="A5" s="2">
        <v>3</v>
      </c>
      <c r="B5" s="2">
        <v>90</v>
      </c>
    </row>
    <row r="6" spans="1:2" ht="14.4" x14ac:dyDescent="0.3">
      <c r="A6" s="2">
        <v>4</v>
      </c>
      <c r="B6" s="2">
        <v>85</v>
      </c>
    </row>
    <row r="7" spans="1:2" ht="14.4" x14ac:dyDescent="0.3">
      <c r="A7" s="2">
        <v>5</v>
      </c>
      <c r="B7" s="2">
        <v>80</v>
      </c>
    </row>
    <row r="8" spans="1:2" ht="14.4" x14ac:dyDescent="0.3">
      <c r="A8" s="2">
        <v>6</v>
      </c>
      <c r="B8" s="2">
        <v>75</v>
      </c>
    </row>
    <row r="9" spans="1:2" ht="14.4" x14ac:dyDescent="0.3">
      <c r="A9" s="2">
        <v>7</v>
      </c>
      <c r="B9" s="2">
        <v>73</v>
      </c>
    </row>
    <row r="10" spans="1:2" ht="14.4" x14ac:dyDescent="0.3">
      <c r="A10" s="2">
        <v>8</v>
      </c>
      <c r="B10" s="2">
        <v>71</v>
      </c>
    </row>
    <row r="11" spans="1:2" ht="14.4" x14ac:dyDescent="0.3">
      <c r="A11" s="2">
        <v>9</v>
      </c>
      <c r="B11" s="2">
        <v>69</v>
      </c>
    </row>
    <row r="12" spans="1:2" ht="14.4" x14ac:dyDescent="0.3">
      <c r="A12" s="2">
        <v>10</v>
      </c>
      <c r="B12" s="2">
        <v>67</v>
      </c>
    </row>
    <row r="13" spans="1:2" ht="14.4" x14ac:dyDescent="0.3">
      <c r="A13" s="2">
        <v>11</v>
      </c>
      <c r="B13" s="2">
        <v>65</v>
      </c>
    </row>
    <row r="14" spans="1:2" ht="14.4" x14ac:dyDescent="0.3">
      <c r="A14" s="2">
        <v>12</v>
      </c>
      <c r="B14" s="2">
        <v>63</v>
      </c>
    </row>
    <row r="15" spans="1:2" ht="14.4" x14ac:dyDescent="0.3">
      <c r="A15" s="2">
        <v>13</v>
      </c>
      <c r="B15" s="2">
        <v>61</v>
      </c>
    </row>
    <row r="16" spans="1:2" ht="14.4" x14ac:dyDescent="0.3">
      <c r="A16" s="2">
        <v>14</v>
      </c>
      <c r="B16" s="2">
        <v>59</v>
      </c>
    </row>
    <row r="17" spans="1:2" ht="14.4" x14ac:dyDescent="0.3">
      <c r="A17" s="2">
        <v>15</v>
      </c>
      <c r="B17" s="2">
        <v>57</v>
      </c>
    </row>
    <row r="18" spans="1:2" ht="14.4" x14ac:dyDescent="0.3">
      <c r="A18" s="2">
        <v>16</v>
      </c>
      <c r="B18" s="2">
        <v>55</v>
      </c>
    </row>
    <row r="19" spans="1:2" ht="14.4" x14ac:dyDescent="0.3">
      <c r="A19" s="2">
        <v>17</v>
      </c>
      <c r="B19" s="2">
        <v>53</v>
      </c>
    </row>
    <row r="20" spans="1:2" ht="14.4" x14ac:dyDescent="0.3">
      <c r="A20" s="2">
        <v>18</v>
      </c>
      <c r="B20" s="2">
        <v>51</v>
      </c>
    </row>
    <row r="21" spans="1:2" ht="15.75" customHeight="1" x14ac:dyDescent="0.3">
      <c r="A21" s="2">
        <v>19</v>
      </c>
      <c r="B21" s="2">
        <v>49</v>
      </c>
    </row>
    <row r="22" spans="1:2" ht="15.75" customHeight="1" x14ac:dyDescent="0.3">
      <c r="A22" s="2">
        <v>20</v>
      </c>
      <c r="B22" s="2">
        <v>47</v>
      </c>
    </row>
    <row r="23" spans="1:2" ht="15.75" customHeight="1" x14ac:dyDescent="0.3">
      <c r="A23" s="2">
        <v>21</v>
      </c>
      <c r="B23" s="2">
        <v>45</v>
      </c>
    </row>
    <row r="24" spans="1:2" ht="15.75" customHeight="1" x14ac:dyDescent="0.3">
      <c r="A24" s="2">
        <v>22</v>
      </c>
      <c r="B24" s="2">
        <v>43</v>
      </c>
    </row>
    <row r="25" spans="1:2" ht="15.75" customHeight="1" x14ac:dyDescent="0.3">
      <c r="A25" s="2">
        <v>23</v>
      </c>
      <c r="B25" s="2">
        <v>41</v>
      </c>
    </row>
    <row r="26" spans="1:2" ht="15.75" customHeight="1" x14ac:dyDescent="0.3">
      <c r="A26" s="2">
        <v>24</v>
      </c>
      <c r="B26" s="2">
        <v>39</v>
      </c>
    </row>
    <row r="27" spans="1:2" ht="15.75" customHeight="1" x14ac:dyDescent="0.3">
      <c r="A27" s="2">
        <v>25</v>
      </c>
      <c r="B27" s="2">
        <v>37</v>
      </c>
    </row>
    <row r="28" spans="1:2" ht="15.75" customHeight="1" x14ac:dyDescent="0.3">
      <c r="A28" s="2">
        <v>26</v>
      </c>
      <c r="B28" s="2">
        <v>35</v>
      </c>
    </row>
    <row r="29" spans="1:2" ht="15.75" customHeight="1" x14ac:dyDescent="0.3">
      <c r="A29" s="2">
        <v>27</v>
      </c>
      <c r="B29" s="2">
        <v>33</v>
      </c>
    </row>
    <row r="30" spans="1:2" ht="15.75" customHeight="1" x14ac:dyDescent="0.3">
      <c r="A30" s="2">
        <v>28</v>
      </c>
      <c r="B30" s="2">
        <v>31</v>
      </c>
    </row>
    <row r="31" spans="1:2" ht="15.75" customHeight="1" x14ac:dyDescent="0.3">
      <c r="A31" s="2">
        <v>29</v>
      </c>
      <c r="B31" s="2">
        <v>29</v>
      </c>
    </row>
    <row r="32" spans="1:2" ht="15.75" customHeight="1" x14ac:dyDescent="0.3">
      <c r="A32" s="2">
        <v>30</v>
      </c>
      <c r="B32" s="2">
        <v>27</v>
      </c>
    </row>
    <row r="33" spans="1:2" ht="15.75" customHeight="1" x14ac:dyDescent="0.3">
      <c r="A33" s="2">
        <v>31</v>
      </c>
      <c r="B33" s="2">
        <v>26</v>
      </c>
    </row>
    <row r="34" spans="1:2" ht="15.75" customHeight="1" x14ac:dyDescent="0.3">
      <c r="A34" s="2">
        <v>32</v>
      </c>
      <c r="B34" s="2">
        <v>25</v>
      </c>
    </row>
    <row r="35" spans="1:2" ht="15.75" customHeight="1" x14ac:dyDescent="0.3">
      <c r="A35" s="2">
        <v>33</v>
      </c>
      <c r="B35" s="2">
        <v>24</v>
      </c>
    </row>
    <row r="36" spans="1:2" ht="15.75" customHeight="1" x14ac:dyDescent="0.3">
      <c r="A36" s="2">
        <v>34</v>
      </c>
      <c r="B36" s="2">
        <v>23</v>
      </c>
    </row>
    <row r="37" spans="1:2" ht="15.75" customHeight="1" x14ac:dyDescent="0.3">
      <c r="A37" s="2">
        <v>35</v>
      </c>
      <c r="B37" s="2">
        <v>22</v>
      </c>
    </row>
    <row r="38" spans="1:2" ht="15.75" customHeight="1" x14ac:dyDescent="0.3">
      <c r="A38" s="2">
        <v>36</v>
      </c>
      <c r="B38" s="2">
        <v>21</v>
      </c>
    </row>
    <row r="39" spans="1:2" ht="15.75" customHeight="1" x14ac:dyDescent="0.3">
      <c r="A39" s="2">
        <v>37</v>
      </c>
      <c r="B39" s="2">
        <v>20</v>
      </c>
    </row>
    <row r="40" spans="1:2" ht="15.75" customHeight="1" x14ac:dyDescent="0.3">
      <c r="A40" s="2">
        <v>38</v>
      </c>
      <c r="B40" s="2">
        <v>19</v>
      </c>
    </row>
    <row r="41" spans="1:2" ht="15.75" customHeight="1" x14ac:dyDescent="0.3">
      <c r="A41" s="2">
        <v>39</v>
      </c>
      <c r="B41" s="2">
        <v>18</v>
      </c>
    </row>
    <row r="42" spans="1:2" ht="15.75" customHeight="1" x14ac:dyDescent="0.3">
      <c r="A42" s="2">
        <v>40</v>
      </c>
      <c r="B42" s="2">
        <v>17</v>
      </c>
    </row>
    <row r="43" spans="1:2" ht="15.75" customHeight="1" x14ac:dyDescent="0.3"/>
    <row r="44" spans="1:2" ht="15.75" customHeight="1" x14ac:dyDescent="0.3"/>
    <row r="45" spans="1:2" ht="15.75" customHeight="1" x14ac:dyDescent="0.3"/>
    <row r="46" spans="1:2" ht="15.75" customHeight="1" x14ac:dyDescent="0.3"/>
    <row r="47" spans="1:2" ht="15.75" customHeight="1" x14ac:dyDescent="0.3"/>
    <row r="48" spans="1: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C89"/>
  <sheetViews>
    <sheetView topLeftCell="A10" workbookViewId="0">
      <selection activeCell="B25" sqref="B25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13" customWidth="1"/>
    <col min="6" max="6" width="1.44140625" customWidth="1"/>
    <col min="7" max="7" width="6.77734375" customWidth="1"/>
    <col min="8" max="8" width="7.109375" customWidth="1"/>
    <col min="9" max="9" width="6.77734375" customWidth="1"/>
    <col min="10" max="10" width="1.44140625" customWidth="1"/>
    <col min="11" max="11" width="6.77734375" customWidth="1"/>
    <col min="12" max="12" width="7.109375" customWidth="1"/>
    <col min="13" max="13" width="6.77734375" customWidth="1"/>
    <col min="14" max="14" width="1.44140625" style="24" customWidth="1"/>
    <col min="15" max="15" width="5.109375" style="24" hidden="1" customWidth="1" outlineLevel="1"/>
    <col min="16" max="16" width="4.33203125" style="24" hidden="1" customWidth="1" outlineLevel="1"/>
    <col min="17" max="17" width="7.109375" style="24" bestFit="1" customWidth="1" collapsed="1"/>
    <col min="18" max="18" width="7.109375" style="24" bestFit="1" customWidth="1"/>
    <col min="19" max="19" width="6.77734375" style="24" bestFit="1" customWidth="1"/>
    <col min="20" max="20" width="1.44140625" style="24" customWidth="1"/>
    <col min="21" max="21" width="5.109375" style="24" hidden="1" customWidth="1" outlineLevel="1"/>
    <col min="22" max="22" width="4.33203125" style="24" hidden="1" customWidth="1" outlineLevel="1"/>
    <col min="23" max="23" width="7.109375" style="24" bestFit="1" customWidth="1" collapsed="1"/>
    <col min="24" max="24" width="6.77734375" style="24" customWidth="1"/>
    <col min="25" max="25" width="7.77734375" style="24" hidden="1" customWidth="1" outlineLevel="1"/>
    <col min="26" max="26" width="7.109375" style="24" hidden="1" customWidth="1" outlineLevel="1"/>
    <col min="27" max="27" width="7.109375" style="24" bestFit="1" customWidth="1" collapsed="1"/>
    <col min="28" max="28" width="6.77734375" style="24" bestFit="1" customWidth="1"/>
    <col min="29" max="29" width="1.44140625" style="24" customWidth="1"/>
    <col min="30" max="30" width="5.109375" style="24" hidden="1" customWidth="1" outlineLevel="1"/>
    <col min="31" max="31" width="4.33203125" style="24" hidden="1" customWidth="1" outlineLevel="1"/>
    <col min="32" max="32" width="7.109375" style="24" bestFit="1" customWidth="1" collapsed="1"/>
    <col min="33" max="33" width="6.77734375" style="24" customWidth="1"/>
    <col min="34" max="34" width="7.77734375" style="24" hidden="1" customWidth="1" outlineLevel="1"/>
    <col min="35" max="35" width="7.109375" style="24" hidden="1" customWidth="1" outlineLevel="1"/>
    <col min="36" max="36" width="7.109375" style="24" bestFit="1" customWidth="1" collapsed="1"/>
    <col min="37" max="37" width="6.77734375" style="24" bestFit="1" customWidth="1"/>
    <col min="38" max="38" width="1.44140625" style="24" customWidth="1"/>
    <col min="39" max="39" width="5.109375" style="24" hidden="1" customWidth="1" outlineLevel="1"/>
    <col min="40" max="40" width="4.33203125" style="24" hidden="1" customWidth="1" outlineLevel="1"/>
    <col min="41" max="41" width="7.109375" style="24" bestFit="1" customWidth="1" collapsed="1"/>
    <col min="42" max="42" width="6.77734375" style="24" customWidth="1"/>
    <col min="43" max="43" width="7.77734375" style="24" hidden="1" customWidth="1" outlineLevel="1"/>
    <col min="44" max="44" width="7.109375" style="24" hidden="1" customWidth="1" outlineLevel="1"/>
    <col min="45" max="45" width="7.109375" style="24" bestFit="1" customWidth="1" collapsed="1"/>
    <col min="46" max="46" width="6.77734375" style="24" bestFit="1" customWidth="1"/>
    <col min="47" max="47" width="1.44140625" style="24" customWidth="1"/>
    <col min="48" max="48" width="5.109375" style="24" hidden="1" customWidth="1" outlineLevel="1"/>
    <col min="49" max="49" width="4.33203125" style="24" hidden="1" customWidth="1" outlineLevel="1"/>
    <col min="50" max="50" width="7.109375" style="24" bestFit="1" customWidth="1" collapsed="1"/>
    <col min="51" max="51" width="6.77734375" style="24" customWidth="1"/>
    <col min="52" max="52" width="7.77734375" style="24" hidden="1" customWidth="1" outlineLevel="1"/>
    <col min="53" max="53" width="7.109375" style="24" hidden="1" customWidth="1" outlineLevel="1"/>
    <col min="54" max="54" width="7.109375" style="24" bestFit="1" customWidth="1" collapsed="1"/>
    <col min="55" max="55" width="6.77734375" style="24" customWidth="1"/>
  </cols>
  <sheetData>
    <row r="1" spans="2:55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/>
      <c r="AV1"/>
      <c r="AW1"/>
      <c r="AX1"/>
      <c r="AY1"/>
      <c r="AZ1"/>
      <c r="BA1"/>
      <c r="BB1"/>
      <c r="BC1"/>
    </row>
    <row r="2" spans="2:55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/>
      <c r="AV2"/>
      <c r="AW2"/>
      <c r="AX2"/>
      <c r="AY2"/>
      <c r="AZ2"/>
      <c r="BA2"/>
      <c r="BB2"/>
      <c r="BC2"/>
    </row>
    <row r="3" spans="2:55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/>
      <c r="AV3"/>
      <c r="AW3"/>
      <c r="AX3"/>
      <c r="AY3"/>
      <c r="AZ3"/>
      <c r="BA3"/>
      <c r="BB3"/>
      <c r="BC3"/>
    </row>
    <row r="4" spans="2:55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/>
      <c r="AV4"/>
      <c r="AW4"/>
      <c r="AX4"/>
      <c r="AY4"/>
      <c r="AZ4"/>
      <c r="BA4"/>
      <c r="BB4"/>
      <c r="BC4"/>
    </row>
    <row r="5" spans="2:55" ht="15" customHeight="1" outlineLevel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55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/>
      <c r="AV6"/>
      <c r="AW6"/>
      <c r="AX6"/>
      <c r="AY6"/>
      <c r="AZ6"/>
      <c r="BA6"/>
      <c r="BB6"/>
      <c r="BC6"/>
    </row>
    <row r="7" spans="2:55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/>
      <c r="AV7"/>
      <c r="AW7"/>
      <c r="AX7"/>
      <c r="AY7"/>
      <c r="AZ7"/>
      <c r="BA7"/>
      <c r="BB7"/>
      <c r="BC7"/>
    </row>
    <row r="8" spans="2:55" ht="18.75" customHeight="1" outlineLevel="1" x14ac:dyDescent="0.3">
      <c r="B8" s="39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/>
      <c r="AV8"/>
      <c r="AW8"/>
      <c r="AX8"/>
      <c r="AY8"/>
      <c r="AZ8"/>
      <c r="BA8"/>
      <c r="BB8"/>
      <c r="BC8"/>
    </row>
    <row r="9" spans="2:55" ht="15" customHeight="1" outlineLevel="1" x14ac:dyDescent="0.35">
      <c r="B9" s="12"/>
      <c r="C9" s="12"/>
      <c r="D9" s="12"/>
      <c r="E9" s="12"/>
      <c r="F9" s="12"/>
      <c r="G9" s="12"/>
      <c r="H9" s="12"/>
      <c r="I9" s="13"/>
      <c r="J9" s="12"/>
      <c r="K9" s="12"/>
      <c r="L9" s="12"/>
      <c r="M9" s="13"/>
    </row>
    <row r="10" spans="2:55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/>
      <c r="AV10"/>
      <c r="AW10"/>
      <c r="AX10"/>
      <c r="AY10"/>
      <c r="AZ10"/>
      <c r="BA10"/>
      <c r="BB10"/>
      <c r="BC10"/>
    </row>
    <row r="11" spans="2:55" ht="15" customHeigh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55" ht="14.4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J12" s="12"/>
      <c r="K12" s="15"/>
      <c r="L12" s="15"/>
      <c r="M12" s="16">
        <v>1</v>
      </c>
      <c r="O12" s="25"/>
      <c r="P12" s="25"/>
      <c r="S12" s="4">
        <v>1</v>
      </c>
      <c r="U12" s="25"/>
      <c r="V12" s="25"/>
      <c r="Y12" s="25"/>
      <c r="Z12" s="3"/>
      <c r="AB12" s="4">
        <v>1</v>
      </c>
      <c r="AD12" s="25"/>
      <c r="AE12" s="25"/>
      <c r="AH12" s="25"/>
      <c r="AI12" s="3"/>
      <c r="AK12" s="4">
        <v>1</v>
      </c>
      <c r="AM12" s="25"/>
      <c r="AN12" s="25"/>
      <c r="AQ12" s="25"/>
      <c r="AR12" s="3"/>
      <c r="AT12" s="4">
        <v>1</v>
      </c>
      <c r="AV12" s="25"/>
      <c r="AW12" s="25"/>
      <c r="AZ12" s="25"/>
      <c r="BA12" s="3"/>
      <c r="BC12" s="4">
        <v>1</v>
      </c>
    </row>
    <row r="13" spans="2:55" ht="14.4" outlineLevel="1" x14ac:dyDescent="0.3">
      <c r="B13" s="12"/>
      <c r="C13" s="12"/>
      <c r="D13" s="12"/>
      <c r="E13" s="14"/>
      <c r="F13" s="12"/>
      <c r="G13" s="15"/>
      <c r="H13" s="15"/>
      <c r="I13" s="15"/>
      <c r="J13" s="12"/>
      <c r="K13" s="15"/>
      <c r="L13" s="15"/>
      <c r="M13" s="15"/>
      <c r="O13" s="25"/>
      <c r="P13" s="25"/>
      <c r="Q13" s="25"/>
      <c r="R13" s="25"/>
      <c r="U13" s="25"/>
      <c r="V13" s="25"/>
      <c r="W13" s="25"/>
      <c r="X13" s="26">
        <f>30+20+10</f>
        <v>60</v>
      </c>
      <c r="Y13" s="25"/>
      <c r="Z13" s="25"/>
      <c r="AA13" s="25"/>
      <c r="AD13" s="25"/>
      <c r="AE13" s="25"/>
      <c r="AF13" s="25"/>
      <c r="AG13" s="26">
        <f>4*(10+2)</f>
        <v>48</v>
      </c>
      <c r="AH13" s="25"/>
      <c r="AI13" s="25"/>
      <c r="AJ13" s="25"/>
      <c r="AM13" s="25"/>
      <c r="AN13" s="25"/>
      <c r="AO13" s="25"/>
      <c r="AP13" s="33">
        <v>80</v>
      </c>
      <c r="AQ13" s="25"/>
      <c r="AR13" s="25"/>
      <c r="AS13" s="25"/>
      <c r="AV13" s="25"/>
      <c r="AW13" s="25"/>
      <c r="AX13" s="25"/>
      <c r="AY13" s="33">
        <f>4*(60+8)</f>
        <v>272</v>
      </c>
      <c r="AZ13" s="25"/>
      <c r="BA13" s="25"/>
      <c r="BB13" s="25"/>
    </row>
    <row r="14" spans="2:55" s="2" customFormat="1" ht="14.4" outlineLevel="1" x14ac:dyDescent="0.3">
      <c r="B14" s="15"/>
      <c r="C14" s="15"/>
      <c r="D14" s="15"/>
      <c r="E14" s="32"/>
      <c r="F14" s="15"/>
      <c r="G14" s="15"/>
      <c r="H14" s="15"/>
      <c r="I14" s="15"/>
      <c r="J14" s="15"/>
      <c r="K14" s="15"/>
      <c r="L14" s="15" t="s">
        <v>49</v>
      </c>
      <c r="M14" s="15"/>
      <c r="N14" s="25"/>
      <c r="O14" s="3"/>
      <c r="P14" s="25"/>
      <c r="Q14" s="25"/>
      <c r="R14" s="25"/>
      <c r="S14" s="25"/>
      <c r="T14" s="25"/>
      <c r="U14" s="3"/>
      <c r="V14" s="25"/>
      <c r="W14" s="25"/>
      <c r="X14" s="3" t="s">
        <v>50</v>
      </c>
      <c r="Y14" s="25"/>
      <c r="Z14" s="25"/>
      <c r="AA14" s="25"/>
      <c r="AB14" s="25"/>
      <c r="AC14" s="25"/>
      <c r="AD14" s="3"/>
      <c r="AE14" s="25"/>
      <c r="AF14" s="25"/>
      <c r="AG14" s="3" t="s">
        <v>29</v>
      </c>
      <c r="AH14" s="25"/>
      <c r="AI14" s="25"/>
      <c r="AJ14" s="25"/>
      <c r="AK14" s="25"/>
      <c r="AL14" s="25"/>
      <c r="AM14" s="3"/>
      <c r="AN14" s="25"/>
      <c r="AO14" s="25"/>
      <c r="AP14" s="3" t="s">
        <v>29</v>
      </c>
      <c r="AQ14" s="25"/>
      <c r="AR14" s="25"/>
      <c r="AS14" s="25"/>
      <c r="AT14" s="25"/>
      <c r="AU14" s="25"/>
      <c r="AV14" s="3"/>
      <c r="AW14" s="25"/>
      <c r="AX14" s="25"/>
      <c r="AY14" s="3" t="s">
        <v>30</v>
      </c>
      <c r="AZ14" s="25"/>
      <c r="BA14" s="25"/>
      <c r="BB14" s="25"/>
      <c r="BC14" s="25"/>
    </row>
    <row r="15" spans="2:55" ht="14.4" outlineLevel="1" x14ac:dyDescent="0.3">
      <c r="B15" s="12"/>
      <c r="C15" s="12"/>
      <c r="D15" s="12"/>
      <c r="E15" s="12"/>
      <c r="F15" s="12"/>
      <c r="G15" s="15"/>
      <c r="H15" s="15"/>
      <c r="I15" s="15"/>
      <c r="J15" s="12"/>
      <c r="K15" s="15"/>
      <c r="L15" s="15"/>
      <c r="M15" s="15"/>
      <c r="O15" s="25"/>
      <c r="P15" s="25"/>
      <c r="Q15" s="25"/>
      <c r="R15" s="25"/>
      <c r="U15" s="25"/>
      <c r="V15" s="25"/>
      <c r="W15" s="25"/>
      <c r="Y15" s="25"/>
      <c r="Z15" s="25"/>
      <c r="AA15" s="25"/>
      <c r="AD15" s="25"/>
      <c r="AE15" s="25"/>
      <c r="AF15" s="25"/>
      <c r="AH15" s="25"/>
      <c r="AI15" s="25"/>
      <c r="AJ15" s="25"/>
      <c r="AM15" s="25"/>
      <c r="AN15" s="25"/>
      <c r="AO15" s="25"/>
      <c r="AQ15" s="25"/>
      <c r="AR15" s="25"/>
      <c r="AS15" s="25"/>
      <c r="AV15" s="25"/>
      <c r="AW15" s="25"/>
      <c r="AX15" s="25"/>
      <c r="AZ15" s="25"/>
      <c r="BA15" s="25"/>
      <c r="BB15" s="25"/>
    </row>
    <row r="16" spans="2:55" ht="15" customHeight="1" x14ac:dyDescent="0.3">
      <c r="B16" s="41" t="s">
        <v>3</v>
      </c>
      <c r="C16" s="42"/>
      <c r="D16" s="17"/>
      <c r="E16" s="45" t="s">
        <v>47</v>
      </c>
      <c r="F16" s="17"/>
      <c r="G16" s="41" t="s">
        <v>22</v>
      </c>
      <c r="H16" s="47"/>
      <c r="I16" s="42"/>
      <c r="J16" s="17"/>
      <c r="K16" s="41" t="s">
        <v>21</v>
      </c>
      <c r="L16" s="47"/>
      <c r="M16" s="42"/>
      <c r="N16" s="27"/>
      <c r="O16" s="49" t="s">
        <v>51</v>
      </c>
      <c r="P16" s="49"/>
      <c r="Q16" s="49"/>
      <c r="R16" s="49"/>
      <c r="S16" s="49"/>
      <c r="T16" s="27"/>
      <c r="U16" s="49" t="s">
        <v>52</v>
      </c>
      <c r="V16" s="49"/>
      <c r="W16" s="49"/>
      <c r="X16" s="49"/>
      <c r="Y16" s="49"/>
      <c r="Z16" s="49"/>
      <c r="AA16" s="49"/>
      <c r="AB16" s="49"/>
      <c r="AC16" s="27"/>
      <c r="AD16" s="49" t="s">
        <v>53</v>
      </c>
      <c r="AE16" s="49"/>
      <c r="AF16" s="49"/>
      <c r="AG16" s="49"/>
      <c r="AH16" s="49"/>
      <c r="AI16" s="49"/>
      <c r="AJ16" s="49"/>
      <c r="AK16" s="49"/>
      <c r="AL16" s="27"/>
      <c r="AM16" s="49" t="s">
        <v>54</v>
      </c>
      <c r="AN16" s="49"/>
      <c r="AO16" s="49"/>
      <c r="AP16" s="49"/>
      <c r="AQ16" s="49"/>
      <c r="AR16" s="49"/>
      <c r="AS16" s="49"/>
      <c r="AT16" s="49"/>
      <c r="AU16" s="27"/>
      <c r="AV16" s="49" t="s">
        <v>55</v>
      </c>
      <c r="AW16" s="49"/>
      <c r="AX16" s="49"/>
      <c r="AY16" s="49"/>
      <c r="AZ16" s="49"/>
      <c r="BA16" s="49"/>
      <c r="BB16" s="49"/>
      <c r="BC16" s="49"/>
    </row>
    <row r="17" spans="1:55" ht="14.4" x14ac:dyDescent="0.3">
      <c r="B17" s="43"/>
      <c r="C17" s="44"/>
      <c r="D17" s="18"/>
      <c r="E17" s="46"/>
      <c r="F17" s="18"/>
      <c r="G17" s="43"/>
      <c r="H17" s="48"/>
      <c r="I17" s="44"/>
      <c r="J17" s="18"/>
      <c r="K17" s="43"/>
      <c r="L17" s="48"/>
      <c r="M17" s="44"/>
      <c r="N17" s="28"/>
      <c r="O17" s="49"/>
      <c r="P17" s="49"/>
      <c r="Q17" s="49"/>
      <c r="R17" s="49"/>
      <c r="S17" s="49"/>
      <c r="T17" s="28"/>
      <c r="U17" s="49"/>
      <c r="V17" s="49"/>
      <c r="W17" s="49"/>
      <c r="X17" s="49"/>
      <c r="Y17" s="49"/>
      <c r="Z17" s="49"/>
      <c r="AA17" s="49"/>
      <c r="AB17" s="49"/>
      <c r="AC17" s="28"/>
      <c r="AD17" s="49"/>
      <c r="AE17" s="49"/>
      <c r="AF17" s="49"/>
      <c r="AG17" s="49"/>
      <c r="AH17" s="49"/>
      <c r="AI17" s="49"/>
      <c r="AJ17" s="49"/>
      <c r="AK17" s="49"/>
      <c r="AL17" s="28"/>
      <c r="AM17" s="49"/>
      <c r="AN17" s="49"/>
      <c r="AO17" s="49"/>
      <c r="AP17" s="49"/>
      <c r="AQ17" s="49"/>
      <c r="AR17" s="49"/>
      <c r="AS17" s="49"/>
      <c r="AT17" s="49"/>
      <c r="AU17" s="28"/>
      <c r="AV17" s="49"/>
      <c r="AW17" s="49"/>
      <c r="AX17" s="49"/>
      <c r="AY17" s="49"/>
      <c r="AZ17" s="49"/>
      <c r="BA17" s="49"/>
      <c r="BB17" s="49"/>
      <c r="BC17" s="49"/>
    </row>
    <row r="18" spans="1:55" ht="41.4" x14ac:dyDescent="0.3">
      <c r="A18" s="8"/>
      <c r="B18" s="19" t="s">
        <v>5</v>
      </c>
      <c r="C18" s="19" t="s">
        <v>6</v>
      </c>
      <c r="D18" s="20"/>
      <c r="E18" s="7" t="s">
        <v>48</v>
      </c>
      <c r="F18" s="20"/>
      <c r="G18" s="6" t="s">
        <v>13</v>
      </c>
      <c r="H18" s="21" t="s">
        <v>11</v>
      </c>
      <c r="I18" s="21" t="s">
        <v>12</v>
      </c>
      <c r="J18" s="20"/>
      <c r="K18" s="6" t="s">
        <v>13</v>
      </c>
      <c r="L18" s="21" t="s">
        <v>11</v>
      </c>
      <c r="M18" s="21" t="s">
        <v>12</v>
      </c>
      <c r="N18" s="10"/>
      <c r="O18" s="5" t="s">
        <v>8</v>
      </c>
      <c r="P18" s="5" t="s">
        <v>9</v>
      </c>
      <c r="Q18" s="5" t="s">
        <v>10</v>
      </c>
      <c r="R18" s="5" t="s">
        <v>11</v>
      </c>
      <c r="S18" s="5" t="s">
        <v>12</v>
      </c>
      <c r="T18" s="10"/>
      <c r="U18" s="5" t="s">
        <v>8</v>
      </c>
      <c r="V18" s="5" t="s">
        <v>9</v>
      </c>
      <c r="W18" s="5" t="s">
        <v>10</v>
      </c>
      <c r="X18" s="6" t="s">
        <v>13</v>
      </c>
      <c r="Y18" s="5" t="s">
        <v>14</v>
      </c>
      <c r="Z18" s="5" t="s">
        <v>10</v>
      </c>
      <c r="AA18" s="5" t="s">
        <v>11</v>
      </c>
      <c r="AB18" s="5" t="s">
        <v>12</v>
      </c>
      <c r="AC18" s="10"/>
      <c r="AD18" s="5" t="s">
        <v>8</v>
      </c>
      <c r="AE18" s="5" t="s">
        <v>9</v>
      </c>
      <c r="AF18" s="5" t="s">
        <v>10</v>
      </c>
      <c r="AG18" s="6" t="s">
        <v>13</v>
      </c>
      <c r="AH18" s="5" t="s">
        <v>14</v>
      </c>
      <c r="AI18" s="5" t="s">
        <v>10</v>
      </c>
      <c r="AJ18" s="5" t="s">
        <v>11</v>
      </c>
      <c r="AK18" s="5" t="s">
        <v>12</v>
      </c>
      <c r="AL18" s="10"/>
      <c r="AM18" s="5" t="s">
        <v>8</v>
      </c>
      <c r="AN18" s="5" t="s">
        <v>9</v>
      </c>
      <c r="AO18" s="5" t="s">
        <v>10</v>
      </c>
      <c r="AP18" s="6" t="s">
        <v>13</v>
      </c>
      <c r="AQ18" s="5" t="s">
        <v>14</v>
      </c>
      <c r="AR18" s="5" t="s">
        <v>10</v>
      </c>
      <c r="AS18" s="5" t="s">
        <v>11</v>
      </c>
      <c r="AT18" s="5" t="s">
        <v>12</v>
      </c>
      <c r="AU18" s="10"/>
      <c r="AV18" s="5" t="s">
        <v>8</v>
      </c>
      <c r="AW18" s="5" t="s">
        <v>9</v>
      </c>
      <c r="AX18" s="5" t="s">
        <v>10</v>
      </c>
      <c r="AY18" s="6" t="s">
        <v>13</v>
      </c>
      <c r="AZ18" s="5" t="s">
        <v>14</v>
      </c>
      <c r="BA18" s="5" t="s">
        <v>10</v>
      </c>
      <c r="BB18" s="5" t="s">
        <v>11</v>
      </c>
      <c r="BC18" s="5" t="s">
        <v>12</v>
      </c>
    </row>
    <row r="19" spans="1:55" ht="14.4" x14ac:dyDescent="0.3">
      <c r="A19" s="8"/>
      <c r="B19" s="17">
        <f>RANK(C19,C$19:C$25,0)</f>
        <v>1</v>
      </c>
      <c r="C19" s="17">
        <f t="shared" ref="C19:C24" si="0">SUMIF($G$12:$BC$12,1,$G19:$BC19)</f>
        <v>653</v>
      </c>
      <c r="D19" s="11"/>
      <c r="E19" s="11" t="s">
        <v>58</v>
      </c>
      <c r="F19" s="11"/>
      <c r="G19" s="17">
        <f>12+8+6+5+5+7+5+6+6+5+5+4+4</f>
        <v>78</v>
      </c>
      <c r="H19" s="17">
        <f t="shared" ref="H19:H25" si="1">RANK(G19,G$19:G$25,0)</f>
        <v>2</v>
      </c>
      <c r="I19" s="17">
        <f>VLOOKUP(H19,'Место-баллы'!$A$3:$B$52,2,0)</f>
        <v>95</v>
      </c>
      <c r="J19" s="11"/>
      <c r="K19" s="17">
        <f>40+40+40+38+3</f>
        <v>161</v>
      </c>
      <c r="L19" s="17">
        <f t="shared" ref="L19:L25" si="2">RANK(K19,K$19:K$25,0)</f>
        <v>2</v>
      </c>
      <c r="M19" s="17">
        <f>VLOOKUP(L19,'Место-баллы'!$A$3:$B$52,2,0)</f>
        <v>95</v>
      </c>
      <c r="N19" s="9"/>
      <c r="O19" s="29">
        <v>7</v>
      </c>
      <c r="P19" s="29">
        <v>20</v>
      </c>
      <c r="Q19" s="30">
        <f t="shared" ref="Q19:Q25" si="3">TIME(0,O19,P19)</f>
        <v>5.0925925925925921E-3</v>
      </c>
      <c r="R19" s="29">
        <f t="shared" ref="R19:R25" si="4">RANK(Q19,Q$19:Q$25,1)</f>
        <v>2</v>
      </c>
      <c r="S19" s="29">
        <f>VLOOKUP(R19,'Место-баллы'!$A$3:$B$52,2,0)</f>
        <v>95</v>
      </c>
      <c r="T19" s="9"/>
      <c r="U19" s="29">
        <v>10</v>
      </c>
      <c r="V19" s="29">
        <v>32</v>
      </c>
      <c r="W19" s="30">
        <f t="shared" ref="W19:W25" si="5">TIME(0,U19,V19)</f>
        <v>7.3148148148148148E-3</v>
      </c>
      <c r="X19" s="29">
        <v>60</v>
      </c>
      <c r="Y19" s="29">
        <f t="shared" ref="Y19:Y25" si="6">X$13-X19</f>
        <v>0</v>
      </c>
      <c r="Z19" s="30">
        <f t="shared" ref="Z19:Z25" si="7">W19+TIME(0,0,Y19)</f>
        <v>7.3148148148148148E-3</v>
      </c>
      <c r="AA19" s="29">
        <f t="shared" ref="AA19:AA25" si="8">RANK(Z19,Z$19:Z$25,1)</f>
        <v>7</v>
      </c>
      <c r="AB19" s="29">
        <f>VLOOKUP(AA19,'Место-баллы'!$A$3:$B$52,2,0)</f>
        <v>73</v>
      </c>
      <c r="AC19" s="9"/>
      <c r="AD19" s="29">
        <v>3</v>
      </c>
      <c r="AE19" s="29">
        <v>2</v>
      </c>
      <c r="AF19" s="30">
        <f t="shared" ref="AF19:AF25" si="9">TIME(0,AD19,AE19)</f>
        <v>2.1064814814814813E-3</v>
      </c>
      <c r="AG19" s="29">
        <v>48</v>
      </c>
      <c r="AH19" s="29">
        <f t="shared" ref="AH19:AH25" si="10">AG$13-AG19</f>
        <v>0</v>
      </c>
      <c r="AI19" s="30">
        <f t="shared" ref="AI19:AI25" si="11">AF19+TIME(0,0,AH19)</f>
        <v>2.1064814814814813E-3</v>
      </c>
      <c r="AJ19" s="29">
        <f t="shared" ref="AJ19:AJ25" si="12">RANK(AI19,AI$19:AI$25,1)</f>
        <v>1</v>
      </c>
      <c r="AK19" s="29">
        <f>VLOOKUP(AJ19,'Место-баллы'!$A$3:$B$52,2,0)</f>
        <v>100</v>
      </c>
      <c r="AL19" s="9"/>
      <c r="AM19" s="29">
        <v>6</v>
      </c>
      <c r="AN19" s="29">
        <v>23</v>
      </c>
      <c r="AO19" s="30">
        <f t="shared" ref="AO19:AO25" si="13">TIME(0,AM19,AN19)</f>
        <v>4.4328703703703709E-3</v>
      </c>
      <c r="AP19" s="29">
        <v>80</v>
      </c>
      <c r="AQ19" s="29">
        <f t="shared" ref="AQ19:AQ25" si="14">AP$13-AP19</f>
        <v>0</v>
      </c>
      <c r="AR19" s="30">
        <f t="shared" ref="AR19:AR25" si="15">AO19+TIME(0,0,AQ19)</f>
        <v>4.4328703703703709E-3</v>
      </c>
      <c r="AS19" s="29">
        <f t="shared" ref="AS19:AS25" si="16">RANK(AR19,AR$19:AR$25,1)</f>
        <v>2</v>
      </c>
      <c r="AT19" s="29">
        <f>VLOOKUP(AS19,'Место-баллы'!$A$3:$B$52,2,0)</f>
        <v>95</v>
      </c>
      <c r="AU19" s="9"/>
      <c r="AV19" s="29">
        <v>10</v>
      </c>
      <c r="AW19" s="29">
        <v>59</v>
      </c>
      <c r="AX19" s="30">
        <f t="shared" ref="AX19:AX24" si="17">TIME(0,AV19,AW19)</f>
        <v>7.6273148148148151E-3</v>
      </c>
      <c r="AY19" s="29">
        <v>272</v>
      </c>
      <c r="AZ19" s="29">
        <f t="shared" ref="AZ19:AZ24" si="18">AY$13-AY19</f>
        <v>0</v>
      </c>
      <c r="BA19" s="30">
        <f t="shared" ref="BA19:BA24" si="19">AX19+TIME(0,0,AZ19)</f>
        <v>7.6273148148148151E-3</v>
      </c>
      <c r="BB19" s="29">
        <f t="shared" ref="BB19:BB24" si="20">RANK(BA19,BA$19:BA$25,1)</f>
        <v>1</v>
      </c>
      <c r="BC19" s="29">
        <f>VLOOKUP(BB19,'Место-баллы'!$A$3:$B$52,2,0)</f>
        <v>100</v>
      </c>
    </row>
    <row r="20" spans="1:55" ht="14.4" x14ac:dyDescent="0.3">
      <c r="A20" s="8"/>
      <c r="B20" s="17">
        <f>RANK(C20,C$19:C$25,0)</f>
        <v>2</v>
      </c>
      <c r="C20" s="17">
        <f t="shared" si="0"/>
        <v>635</v>
      </c>
      <c r="D20" s="11"/>
      <c r="E20" s="11" t="s">
        <v>62</v>
      </c>
      <c r="F20" s="11"/>
      <c r="G20" s="17">
        <f>5+5+5+5+5+5+3+5+5+5+5+5+5+5</f>
        <v>68</v>
      </c>
      <c r="H20" s="17">
        <f t="shared" si="1"/>
        <v>6</v>
      </c>
      <c r="I20" s="17">
        <f>VLOOKUP(H20,'Место-баллы'!$A$3:$B$52,2,0)</f>
        <v>75</v>
      </c>
      <c r="J20" s="11"/>
      <c r="K20" s="17">
        <f>40+40+40+40+17</f>
        <v>177</v>
      </c>
      <c r="L20" s="17">
        <f t="shared" si="2"/>
        <v>1</v>
      </c>
      <c r="M20" s="17">
        <f>VLOOKUP(L20,'Место-баллы'!$A$3:$B$52,2,0)</f>
        <v>100</v>
      </c>
      <c r="N20" s="9"/>
      <c r="O20" s="29">
        <v>7</v>
      </c>
      <c r="P20" s="29">
        <v>25</v>
      </c>
      <c r="Q20" s="30">
        <f t="shared" si="3"/>
        <v>5.1504629629629635E-3</v>
      </c>
      <c r="R20" s="29">
        <f t="shared" si="4"/>
        <v>3</v>
      </c>
      <c r="S20" s="29">
        <f>VLOOKUP(R20,'Место-баллы'!$A$3:$B$52,2,0)</f>
        <v>90</v>
      </c>
      <c r="T20" s="9"/>
      <c r="U20" s="29">
        <v>8</v>
      </c>
      <c r="V20" s="29">
        <v>8</v>
      </c>
      <c r="W20" s="30">
        <f t="shared" si="5"/>
        <v>5.6481481481481478E-3</v>
      </c>
      <c r="X20" s="29">
        <v>60</v>
      </c>
      <c r="Y20" s="29">
        <f t="shared" si="6"/>
        <v>0</v>
      </c>
      <c r="Z20" s="30">
        <f t="shared" si="7"/>
        <v>5.6481481481481478E-3</v>
      </c>
      <c r="AA20" s="29">
        <f t="shared" si="8"/>
        <v>2</v>
      </c>
      <c r="AB20" s="29">
        <f>VLOOKUP(AA20,'Место-баллы'!$A$3:$B$52,2,0)</f>
        <v>95</v>
      </c>
      <c r="AC20" s="9"/>
      <c r="AD20" s="29">
        <v>3</v>
      </c>
      <c r="AE20" s="29">
        <v>31</v>
      </c>
      <c r="AF20" s="30">
        <f t="shared" si="9"/>
        <v>2.4421296296296296E-3</v>
      </c>
      <c r="AG20" s="29">
        <v>48</v>
      </c>
      <c r="AH20" s="29">
        <f t="shared" si="10"/>
        <v>0</v>
      </c>
      <c r="AI20" s="30">
        <f t="shared" si="11"/>
        <v>2.4421296296296296E-3</v>
      </c>
      <c r="AJ20" s="29">
        <f t="shared" si="12"/>
        <v>5</v>
      </c>
      <c r="AK20" s="29">
        <f>VLOOKUP(AJ20,'Место-баллы'!$A$3:$B$52,2,0)</f>
        <v>80</v>
      </c>
      <c r="AL20" s="9"/>
      <c r="AM20" s="29">
        <v>5</v>
      </c>
      <c r="AN20" s="29">
        <v>20</v>
      </c>
      <c r="AO20" s="30">
        <f t="shared" si="13"/>
        <v>3.7037037037037034E-3</v>
      </c>
      <c r="AP20" s="29">
        <v>80</v>
      </c>
      <c r="AQ20" s="29">
        <f t="shared" si="14"/>
        <v>0</v>
      </c>
      <c r="AR20" s="30">
        <f t="shared" si="15"/>
        <v>3.7037037037037034E-3</v>
      </c>
      <c r="AS20" s="29">
        <f t="shared" si="16"/>
        <v>1</v>
      </c>
      <c r="AT20" s="29">
        <f>VLOOKUP(AS20,'Место-баллы'!$A$3:$B$52,2,0)</f>
        <v>100</v>
      </c>
      <c r="AU20" s="9"/>
      <c r="AV20" s="29">
        <v>12</v>
      </c>
      <c r="AW20" s="29">
        <v>5</v>
      </c>
      <c r="AX20" s="30">
        <f t="shared" si="17"/>
        <v>8.3912037037037045E-3</v>
      </c>
      <c r="AY20" s="29">
        <v>269</v>
      </c>
      <c r="AZ20" s="29">
        <f t="shared" si="18"/>
        <v>3</v>
      </c>
      <c r="BA20" s="30">
        <f t="shared" si="19"/>
        <v>8.425925925925927E-3</v>
      </c>
      <c r="BB20" s="29">
        <f t="shared" si="20"/>
        <v>2</v>
      </c>
      <c r="BC20" s="29">
        <f>VLOOKUP(BB20,'Место-баллы'!$A$3:$B$52,2,0)</f>
        <v>95</v>
      </c>
    </row>
    <row r="21" spans="1:55" ht="14.4" x14ac:dyDescent="0.3">
      <c r="A21" s="8"/>
      <c r="B21" s="17">
        <f>RANK(C21,C$19:C$25,0)</f>
        <v>3</v>
      </c>
      <c r="C21" s="17">
        <f t="shared" si="0"/>
        <v>628</v>
      </c>
      <c r="D21" s="11"/>
      <c r="E21" s="11" t="s">
        <v>59</v>
      </c>
      <c r="F21" s="11"/>
      <c r="G21" s="17">
        <v>86</v>
      </c>
      <c r="H21" s="17">
        <f t="shared" si="1"/>
        <v>1</v>
      </c>
      <c r="I21" s="17">
        <f>VLOOKUP(H21,'Место-баллы'!$A$3:$B$52,2,0)</f>
        <v>100</v>
      </c>
      <c r="J21" s="11"/>
      <c r="K21" s="17">
        <v>155</v>
      </c>
      <c r="L21" s="17">
        <f t="shared" si="2"/>
        <v>5</v>
      </c>
      <c r="M21" s="17">
        <f>VLOOKUP(L21,'Место-баллы'!$A$3:$B$52,2,0)</f>
        <v>80</v>
      </c>
      <c r="N21" s="9"/>
      <c r="O21" s="29">
        <v>8</v>
      </c>
      <c r="P21" s="29">
        <v>40</v>
      </c>
      <c r="Q21" s="30">
        <f t="shared" si="3"/>
        <v>6.0185185185185177E-3</v>
      </c>
      <c r="R21" s="29">
        <f t="shared" si="4"/>
        <v>7</v>
      </c>
      <c r="S21" s="29">
        <f>VLOOKUP(R21,'Место-баллы'!$A$3:$B$52,2,0)</f>
        <v>73</v>
      </c>
      <c r="T21" s="9"/>
      <c r="U21" s="29">
        <v>5</v>
      </c>
      <c r="V21" s="29">
        <v>34</v>
      </c>
      <c r="W21" s="30">
        <f t="shared" si="5"/>
        <v>3.8657407407407408E-3</v>
      </c>
      <c r="X21" s="29">
        <v>60</v>
      </c>
      <c r="Y21" s="29">
        <f t="shared" si="6"/>
        <v>0</v>
      </c>
      <c r="Z21" s="30">
        <f t="shared" si="7"/>
        <v>3.8657407407407408E-3</v>
      </c>
      <c r="AA21" s="29">
        <f t="shared" si="8"/>
        <v>1</v>
      </c>
      <c r="AB21" s="29">
        <f>VLOOKUP(AA21,'Место-баллы'!$A$3:$B$52,2,0)</f>
        <v>100</v>
      </c>
      <c r="AC21" s="9"/>
      <c r="AD21" s="29">
        <v>3</v>
      </c>
      <c r="AE21" s="29">
        <v>9</v>
      </c>
      <c r="AF21" s="30">
        <f t="shared" si="9"/>
        <v>2.1874999999999998E-3</v>
      </c>
      <c r="AG21" s="29">
        <v>48</v>
      </c>
      <c r="AH21" s="29">
        <f t="shared" si="10"/>
        <v>0</v>
      </c>
      <c r="AI21" s="30">
        <f t="shared" si="11"/>
        <v>2.1874999999999998E-3</v>
      </c>
      <c r="AJ21" s="29">
        <f t="shared" si="12"/>
        <v>2</v>
      </c>
      <c r="AK21" s="29">
        <f>VLOOKUP(AJ21,'Место-баллы'!$A$3:$B$52,2,0)</f>
        <v>95</v>
      </c>
      <c r="AL21" s="9"/>
      <c r="AM21" s="29">
        <v>6</v>
      </c>
      <c r="AN21" s="29">
        <v>33</v>
      </c>
      <c r="AO21" s="30">
        <f t="shared" si="13"/>
        <v>4.5486111111111109E-3</v>
      </c>
      <c r="AP21" s="29">
        <v>80</v>
      </c>
      <c r="AQ21" s="29">
        <f t="shared" si="14"/>
        <v>0</v>
      </c>
      <c r="AR21" s="30">
        <f t="shared" si="15"/>
        <v>4.5486111111111109E-3</v>
      </c>
      <c r="AS21" s="29">
        <f t="shared" si="16"/>
        <v>3</v>
      </c>
      <c r="AT21" s="29">
        <f>VLOOKUP(AS21,'Место-баллы'!$A$3:$B$52,2,0)</f>
        <v>90</v>
      </c>
      <c r="AU21" s="9"/>
      <c r="AV21" s="29">
        <v>12</v>
      </c>
      <c r="AW21" s="29">
        <v>5</v>
      </c>
      <c r="AX21" s="30">
        <f t="shared" si="17"/>
        <v>8.3912037037037045E-3</v>
      </c>
      <c r="AY21" s="29">
        <v>268</v>
      </c>
      <c r="AZ21" s="29">
        <f t="shared" si="18"/>
        <v>4</v>
      </c>
      <c r="BA21" s="30">
        <f t="shared" si="19"/>
        <v>8.4375000000000006E-3</v>
      </c>
      <c r="BB21" s="29">
        <f t="shared" si="20"/>
        <v>3</v>
      </c>
      <c r="BC21" s="29">
        <f>VLOOKUP(BB21,'Место-баллы'!$A$3:$B$52,2,0)</f>
        <v>90</v>
      </c>
    </row>
    <row r="22" spans="1:55" ht="14.4" x14ac:dyDescent="0.3">
      <c r="A22" s="8"/>
      <c r="B22" s="17">
        <f>RANK(C22,C$19:C$25,0)</f>
        <v>4</v>
      </c>
      <c r="C22" s="17">
        <f t="shared" si="0"/>
        <v>620</v>
      </c>
      <c r="D22" s="11"/>
      <c r="E22" s="11" t="s">
        <v>61</v>
      </c>
      <c r="F22" s="11"/>
      <c r="G22" s="17">
        <f>10+7+10+7+5+10+10+6+6+5</f>
        <v>76</v>
      </c>
      <c r="H22" s="17">
        <f t="shared" si="1"/>
        <v>3</v>
      </c>
      <c r="I22" s="17">
        <f>VLOOKUP(H22,'Место-баллы'!$A$3:$B$52,2,0)</f>
        <v>90</v>
      </c>
      <c r="J22" s="11"/>
      <c r="K22" s="17">
        <f>40+40+40+37</f>
        <v>157</v>
      </c>
      <c r="L22" s="17">
        <f t="shared" si="2"/>
        <v>3</v>
      </c>
      <c r="M22" s="17">
        <f>VLOOKUP(L22,'Место-баллы'!$A$3:$B$52,2,0)</f>
        <v>90</v>
      </c>
      <c r="N22" s="9"/>
      <c r="O22" s="29">
        <v>6</v>
      </c>
      <c r="P22" s="29">
        <v>57</v>
      </c>
      <c r="Q22" s="30">
        <f t="shared" si="3"/>
        <v>4.8263888888888887E-3</v>
      </c>
      <c r="R22" s="29">
        <f t="shared" si="4"/>
        <v>1</v>
      </c>
      <c r="S22" s="29">
        <f>VLOOKUP(R22,'Место-баллы'!$A$3:$B$52,2,0)</f>
        <v>100</v>
      </c>
      <c r="T22" s="9"/>
      <c r="U22" s="29">
        <v>8</v>
      </c>
      <c r="V22" s="29">
        <v>8</v>
      </c>
      <c r="W22" s="30">
        <f t="shared" si="5"/>
        <v>5.6481481481481478E-3</v>
      </c>
      <c r="X22" s="29">
        <v>60</v>
      </c>
      <c r="Y22" s="29">
        <f t="shared" si="6"/>
        <v>0</v>
      </c>
      <c r="Z22" s="30">
        <f t="shared" si="7"/>
        <v>5.6481481481481478E-3</v>
      </c>
      <c r="AA22" s="29">
        <f t="shared" si="8"/>
        <v>2</v>
      </c>
      <c r="AB22" s="29">
        <f>VLOOKUP(AA22,'Место-баллы'!$A$3:$B$52,2,0)</f>
        <v>95</v>
      </c>
      <c r="AC22" s="9"/>
      <c r="AD22" s="29">
        <v>3</v>
      </c>
      <c r="AE22" s="29">
        <v>29</v>
      </c>
      <c r="AF22" s="30">
        <f t="shared" si="9"/>
        <v>2.4189814814814816E-3</v>
      </c>
      <c r="AG22" s="29">
        <v>48</v>
      </c>
      <c r="AH22" s="29">
        <f t="shared" si="10"/>
        <v>0</v>
      </c>
      <c r="AI22" s="30">
        <f t="shared" si="11"/>
        <v>2.4189814814814816E-3</v>
      </c>
      <c r="AJ22" s="29">
        <f t="shared" si="12"/>
        <v>4</v>
      </c>
      <c r="AK22" s="29">
        <f>VLOOKUP(AJ22,'Место-баллы'!$A$3:$B$52,2,0)</f>
        <v>85</v>
      </c>
      <c r="AL22" s="9"/>
      <c r="AM22" s="29">
        <v>7</v>
      </c>
      <c r="AN22" s="29">
        <v>17</v>
      </c>
      <c r="AO22" s="30">
        <f t="shared" si="13"/>
        <v>5.0578703703703706E-3</v>
      </c>
      <c r="AP22" s="29">
        <v>80</v>
      </c>
      <c r="AQ22" s="29">
        <f t="shared" si="14"/>
        <v>0</v>
      </c>
      <c r="AR22" s="30">
        <f t="shared" si="15"/>
        <v>5.0578703703703706E-3</v>
      </c>
      <c r="AS22" s="29">
        <f t="shared" si="16"/>
        <v>6</v>
      </c>
      <c r="AT22" s="29">
        <f>VLOOKUP(AS22,'Место-баллы'!$A$3:$B$52,2,0)</f>
        <v>75</v>
      </c>
      <c r="AU22" s="9"/>
      <c r="AV22" s="29">
        <v>12</v>
      </c>
      <c r="AW22" s="29">
        <v>5</v>
      </c>
      <c r="AX22" s="30">
        <f t="shared" si="17"/>
        <v>8.3912037037037045E-3</v>
      </c>
      <c r="AY22" s="29">
        <v>251</v>
      </c>
      <c r="AZ22" s="29">
        <f t="shared" si="18"/>
        <v>21</v>
      </c>
      <c r="BA22" s="30">
        <f t="shared" si="19"/>
        <v>8.6342592592592599E-3</v>
      </c>
      <c r="BB22" s="29">
        <f t="shared" si="20"/>
        <v>4</v>
      </c>
      <c r="BC22" s="29">
        <f>VLOOKUP(BB22,'Место-баллы'!$A$3:$B$52,2,0)</f>
        <v>85</v>
      </c>
    </row>
    <row r="23" spans="1:55" ht="14.4" x14ac:dyDescent="0.3">
      <c r="A23" s="8"/>
      <c r="B23" s="17">
        <f>RANK(C23,C$19:C$25,0)</f>
        <v>5</v>
      </c>
      <c r="C23" s="17">
        <f t="shared" si="0"/>
        <v>558</v>
      </c>
      <c r="D23" s="11"/>
      <c r="E23" s="11" t="s">
        <v>60</v>
      </c>
      <c r="F23" s="11"/>
      <c r="G23" s="17">
        <f>4+4+4+4+3+3+3+3+5+4+4+3+3+3+3+3</f>
        <v>56</v>
      </c>
      <c r="H23" s="17">
        <f t="shared" si="1"/>
        <v>7</v>
      </c>
      <c r="I23" s="17">
        <f>VLOOKUP(H23,'Место-баллы'!$A$3:$B$52,2,0)</f>
        <v>73</v>
      </c>
      <c r="J23" s="11"/>
      <c r="K23" s="17">
        <f>40+40+40+18</f>
        <v>138</v>
      </c>
      <c r="L23" s="17">
        <f t="shared" si="2"/>
        <v>6</v>
      </c>
      <c r="M23" s="17">
        <f>VLOOKUP(L23,'Место-баллы'!$A$3:$B$52,2,0)</f>
        <v>75</v>
      </c>
      <c r="N23" s="9"/>
      <c r="O23" s="29">
        <v>8</v>
      </c>
      <c r="P23" s="29">
        <v>23</v>
      </c>
      <c r="Q23" s="30">
        <f t="shared" si="3"/>
        <v>5.8217592592592592E-3</v>
      </c>
      <c r="R23" s="29">
        <f t="shared" si="4"/>
        <v>6</v>
      </c>
      <c r="S23" s="29">
        <f>VLOOKUP(R23,'Место-баллы'!$A$3:$B$52,2,0)</f>
        <v>75</v>
      </c>
      <c r="T23" s="9"/>
      <c r="U23" s="29">
        <v>8</v>
      </c>
      <c r="V23" s="29">
        <v>59</v>
      </c>
      <c r="W23" s="30">
        <f t="shared" si="5"/>
        <v>6.238425925925925E-3</v>
      </c>
      <c r="X23" s="29">
        <v>60</v>
      </c>
      <c r="Y23" s="29">
        <f t="shared" si="6"/>
        <v>0</v>
      </c>
      <c r="Z23" s="30">
        <f t="shared" si="7"/>
        <v>6.238425925925925E-3</v>
      </c>
      <c r="AA23" s="29">
        <f t="shared" si="8"/>
        <v>5</v>
      </c>
      <c r="AB23" s="29">
        <f>VLOOKUP(AA23,'Место-баллы'!$A$3:$B$52,2,0)</f>
        <v>80</v>
      </c>
      <c r="AC23" s="9"/>
      <c r="AD23" s="29">
        <v>3</v>
      </c>
      <c r="AE23" s="29">
        <v>22</v>
      </c>
      <c r="AF23" s="30">
        <f t="shared" si="9"/>
        <v>2.3379629629629631E-3</v>
      </c>
      <c r="AG23" s="29">
        <v>48</v>
      </c>
      <c r="AH23" s="29">
        <f t="shared" si="10"/>
        <v>0</v>
      </c>
      <c r="AI23" s="30">
        <f t="shared" si="11"/>
        <v>2.3379629629629631E-3</v>
      </c>
      <c r="AJ23" s="29">
        <f t="shared" si="12"/>
        <v>3</v>
      </c>
      <c r="AK23" s="29">
        <f>VLOOKUP(AJ23,'Место-баллы'!$A$3:$B$52,2,0)</f>
        <v>90</v>
      </c>
      <c r="AL23" s="9"/>
      <c r="AM23" s="29">
        <v>6</v>
      </c>
      <c r="AN23" s="29">
        <v>47</v>
      </c>
      <c r="AO23" s="30">
        <f t="shared" si="13"/>
        <v>4.7106481481481478E-3</v>
      </c>
      <c r="AP23" s="29">
        <v>80</v>
      </c>
      <c r="AQ23" s="29">
        <f t="shared" si="14"/>
        <v>0</v>
      </c>
      <c r="AR23" s="30">
        <f t="shared" si="15"/>
        <v>4.7106481481481478E-3</v>
      </c>
      <c r="AS23" s="29">
        <f t="shared" si="16"/>
        <v>4</v>
      </c>
      <c r="AT23" s="29">
        <f>VLOOKUP(AS23,'Место-баллы'!$A$3:$B$52,2,0)</f>
        <v>85</v>
      </c>
      <c r="AU23" s="9"/>
      <c r="AV23" s="29">
        <v>12</v>
      </c>
      <c r="AW23" s="29">
        <v>5</v>
      </c>
      <c r="AX23" s="30">
        <f t="shared" si="17"/>
        <v>8.3912037037037045E-3</v>
      </c>
      <c r="AY23" s="29">
        <v>211</v>
      </c>
      <c r="AZ23" s="29">
        <f t="shared" si="18"/>
        <v>61</v>
      </c>
      <c r="BA23" s="30">
        <f t="shared" si="19"/>
        <v>9.0972222222222236E-3</v>
      </c>
      <c r="BB23" s="29">
        <f t="shared" si="20"/>
        <v>5</v>
      </c>
      <c r="BC23" s="29">
        <f>VLOOKUP(BB23,'Место-баллы'!$A$3:$B$52,2,0)</f>
        <v>80</v>
      </c>
    </row>
    <row r="24" spans="1:55" ht="14.4" x14ac:dyDescent="0.3">
      <c r="A24" s="8"/>
      <c r="B24" s="17">
        <v>6</v>
      </c>
      <c r="C24" s="17">
        <f t="shared" si="0"/>
        <v>558</v>
      </c>
      <c r="D24" s="11"/>
      <c r="E24" s="11" t="s">
        <v>56</v>
      </c>
      <c r="F24" s="11"/>
      <c r="G24" s="17">
        <f>6+6+5+5+5+5+6+1+4+4+4+4+4+4+4+5</f>
        <v>72</v>
      </c>
      <c r="H24" s="17">
        <f t="shared" si="1"/>
        <v>5</v>
      </c>
      <c r="I24" s="17">
        <f>VLOOKUP(H24,'Место-баллы'!$A$3:$B$52,2,0)</f>
        <v>80</v>
      </c>
      <c r="J24" s="11"/>
      <c r="K24" s="17">
        <f>40+40+40+37</f>
        <v>157</v>
      </c>
      <c r="L24" s="17">
        <f t="shared" si="2"/>
        <v>3</v>
      </c>
      <c r="M24" s="17">
        <f>VLOOKUP(L24,'Место-баллы'!$A$3:$B$52,2,0)</f>
        <v>90</v>
      </c>
      <c r="N24" s="9"/>
      <c r="O24" s="29">
        <v>7</v>
      </c>
      <c r="P24" s="29">
        <v>47</v>
      </c>
      <c r="Q24" s="30">
        <f t="shared" si="3"/>
        <v>5.4050925925925924E-3</v>
      </c>
      <c r="R24" s="29">
        <f t="shared" si="4"/>
        <v>5</v>
      </c>
      <c r="S24" s="29">
        <f>VLOOKUP(R24,'Место-баллы'!$A$3:$B$52,2,0)</f>
        <v>80</v>
      </c>
      <c r="T24" s="9"/>
      <c r="U24" s="29">
        <v>8</v>
      </c>
      <c r="V24" s="29">
        <v>35</v>
      </c>
      <c r="W24" s="30">
        <f t="shared" si="5"/>
        <v>5.9606481481481489E-3</v>
      </c>
      <c r="X24" s="29">
        <v>60</v>
      </c>
      <c r="Y24" s="29">
        <f t="shared" si="6"/>
        <v>0</v>
      </c>
      <c r="Z24" s="30">
        <f t="shared" si="7"/>
        <v>5.9606481481481489E-3</v>
      </c>
      <c r="AA24" s="29">
        <f t="shared" si="8"/>
        <v>4</v>
      </c>
      <c r="AB24" s="29">
        <f>VLOOKUP(AA24,'Место-баллы'!$A$3:$B$52,2,0)</f>
        <v>85</v>
      </c>
      <c r="AC24" s="9"/>
      <c r="AD24" s="29">
        <v>3</v>
      </c>
      <c r="AE24" s="29">
        <v>34</v>
      </c>
      <c r="AF24" s="30">
        <f t="shared" si="9"/>
        <v>2.4768518518518516E-3</v>
      </c>
      <c r="AG24" s="29">
        <v>48</v>
      </c>
      <c r="AH24" s="29">
        <f t="shared" si="10"/>
        <v>0</v>
      </c>
      <c r="AI24" s="30">
        <f t="shared" si="11"/>
        <v>2.4768518518518516E-3</v>
      </c>
      <c r="AJ24" s="29">
        <f t="shared" si="12"/>
        <v>6</v>
      </c>
      <c r="AK24" s="29">
        <f>VLOOKUP(AJ24,'Место-баллы'!$A$3:$B$52,2,0)</f>
        <v>75</v>
      </c>
      <c r="AL24" s="9"/>
      <c r="AM24" s="29">
        <v>8</v>
      </c>
      <c r="AN24" s="29">
        <v>5</v>
      </c>
      <c r="AO24" s="30">
        <f t="shared" si="13"/>
        <v>5.6134259259259271E-3</v>
      </c>
      <c r="AP24" s="29">
        <v>68</v>
      </c>
      <c r="AQ24" s="29">
        <f t="shared" si="14"/>
        <v>12</v>
      </c>
      <c r="AR24" s="30">
        <f t="shared" si="15"/>
        <v>5.752314814814816E-3</v>
      </c>
      <c r="AS24" s="29">
        <f t="shared" si="16"/>
        <v>7</v>
      </c>
      <c r="AT24" s="29">
        <f>VLOOKUP(AS24,'Место-баллы'!$A$3:$B$52,2,0)</f>
        <v>73</v>
      </c>
      <c r="AU24" s="9"/>
      <c r="AV24" s="29">
        <v>12</v>
      </c>
      <c r="AW24" s="29">
        <v>5</v>
      </c>
      <c r="AX24" s="30">
        <f t="shared" si="17"/>
        <v>8.3912037037037045E-3</v>
      </c>
      <c r="AY24" s="29">
        <v>198</v>
      </c>
      <c r="AZ24" s="29">
        <f t="shared" si="18"/>
        <v>74</v>
      </c>
      <c r="BA24" s="30">
        <f t="shared" si="19"/>
        <v>9.2476851851851852E-3</v>
      </c>
      <c r="BB24" s="29">
        <f t="shared" si="20"/>
        <v>6</v>
      </c>
      <c r="BC24" s="29">
        <f>VLOOKUP(BB24,'Место-баллы'!$A$3:$B$52,2,0)</f>
        <v>75</v>
      </c>
    </row>
    <row r="25" spans="1:55" ht="14.4" x14ac:dyDescent="0.3">
      <c r="A25" s="8"/>
      <c r="B25" s="34" t="s">
        <v>64</v>
      </c>
      <c r="C25" s="17" t="s">
        <v>65</v>
      </c>
      <c r="D25" s="11"/>
      <c r="E25" s="11" t="s">
        <v>57</v>
      </c>
      <c r="F25" s="11"/>
      <c r="G25" s="17">
        <f>12+8+8+8+9+10+8+6+5</f>
        <v>74</v>
      </c>
      <c r="H25" s="17">
        <f t="shared" si="1"/>
        <v>4</v>
      </c>
      <c r="I25" s="17">
        <f>VLOOKUP(H25,'Место-баллы'!$A$3:$B$52,2,0)</f>
        <v>85</v>
      </c>
      <c r="J25" s="11"/>
      <c r="K25" s="17">
        <f>40+40+38</f>
        <v>118</v>
      </c>
      <c r="L25" s="17">
        <f t="shared" si="2"/>
        <v>7</v>
      </c>
      <c r="M25" s="17">
        <f>VLOOKUP(L25,'Место-баллы'!$A$3:$B$52,2,0)</f>
        <v>73</v>
      </c>
      <c r="N25" s="9"/>
      <c r="O25" s="29">
        <v>7</v>
      </c>
      <c r="P25" s="29">
        <v>28</v>
      </c>
      <c r="Q25" s="30">
        <f t="shared" si="3"/>
        <v>5.185185185185185E-3</v>
      </c>
      <c r="R25" s="29">
        <f t="shared" si="4"/>
        <v>4</v>
      </c>
      <c r="S25" s="29">
        <f>VLOOKUP(R25,'Место-баллы'!$A$3:$B$52,2,0)</f>
        <v>85</v>
      </c>
      <c r="T25" s="9"/>
      <c r="U25" s="29">
        <v>9</v>
      </c>
      <c r="V25" s="29">
        <v>17</v>
      </c>
      <c r="W25" s="30">
        <f t="shared" si="5"/>
        <v>6.4467592592592597E-3</v>
      </c>
      <c r="X25" s="29">
        <v>60</v>
      </c>
      <c r="Y25" s="29">
        <f t="shared" si="6"/>
        <v>0</v>
      </c>
      <c r="Z25" s="30">
        <f t="shared" si="7"/>
        <v>6.4467592592592597E-3</v>
      </c>
      <c r="AA25" s="29">
        <f t="shared" si="8"/>
        <v>6</v>
      </c>
      <c r="AB25" s="29">
        <f>VLOOKUP(AA25,'Место-баллы'!$A$3:$B$52,2,0)</f>
        <v>75</v>
      </c>
      <c r="AC25" s="9"/>
      <c r="AD25" s="29">
        <v>3</v>
      </c>
      <c r="AE25" s="29">
        <v>59</v>
      </c>
      <c r="AF25" s="30">
        <f t="shared" si="9"/>
        <v>2.7662037037037034E-3</v>
      </c>
      <c r="AG25" s="29">
        <v>48</v>
      </c>
      <c r="AH25" s="29">
        <f t="shared" si="10"/>
        <v>0</v>
      </c>
      <c r="AI25" s="30">
        <f t="shared" si="11"/>
        <v>2.7662037037037034E-3</v>
      </c>
      <c r="AJ25" s="29">
        <f t="shared" si="12"/>
        <v>7</v>
      </c>
      <c r="AK25" s="29">
        <f>VLOOKUP(AJ25,'Место-баллы'!$A$3:$B$52,2,0)</f>
        <v>73</v>
      </c>
      <c r="AL25" s="9"/>
      <c r="AM25" s="29">
        <v>7</v>
      </c>
      <c r="AN25" s="29">
        <v>9</v>
      </c>
      <c r="AO25" s="30">
        <f t="shared" si="13"/>
        <v>4.9652777777777777E-3</v>
      </c>
      <c r="AP25" s="29">
        <v>80</v>
      </c>
      <c r="AQ25" s="29">
        <f t="shared" si="14"/>
        <v>0</v>
      </c>
      <c r="AR25" s="30">
        <f t="shared" si="15"/>
        <v>4.9652777777777777E-3</v>
      </c>
      <c r="AS25" s="29">
        <f t="shared" si="16"/>
        <v>5</v>
      </c>
      <c r="AT25" s="29">
        <f>VLOOKUP(AS25,'Место-баллы'!$A$3:$B$52,2,0)</f>
        <v>80</v>
      </c>
      <c r="AU25" s="9"/>
      <c r="AV25" s="29"/>
      <c r="AW25" s="29"/>
      <c r="AX25" s="30"/>
      <c r="AY25" s="29"/>
      <c r="AZ25" s="29"/>
      <c r="BA25" s="30"/>
      <c r="BB25" s="29"/>
      <c r="BC25" s="34" t="s">
        <v>64</v>
      </c>
    </row>
    <row r="26" spans="1:55" ht="15.75" customHeight="1" x14ac:dyDescent="0.3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15.75" customHeight="1" x14ac:dyDescent="0.3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15.75" customHeight="1" outlineLevel="1" x14ac:dyDescent="0.35">
      <c r="A28" s="8"/>
      <c r="B28" s="22" t="s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ht="15.75" customHeight="1" outlineLevel="1" x14ac:dyDescent="0.3">
      <c r="B29" s="23"/>
      <c r="C29" s="23"/>
      <c r="D29" s="23"/>
      <c r="E29" s="2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ht="15.75" customHeight="1" outlineLevel="1" x14ac:dyDescent="0.35">
      <c r="B30" s="22" t="s">
        <v>63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ht="15.75" customHeight="1" x14ac:dyDescent="0.3"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customHeight="1" x14ac:dyDescent="0.3"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4:55" ht="15.75" customHeight="1" x14ac:dyDescent="0.3"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4:55" ht="15.75" customHeight="1" x14ac:dyDescent="0.3"/>
    <row r="35" spans="14:55" ht="15.75" customHeight="1" x14ac:dyDescent="0.3"/>
    <row r="36" spans="14:55" ht="15.75" customHeight="1" x14ac:dyDescent="0.3"/>
    <row r="37" spans="14:55" ht="15.75" customHeight="1" x14ac:dyDescent="0.3"/>
    <row r="38" spans="14:55" ht="15.75" customHeight="1" x14ac:dyDescent="0.3"/>
    <row r="39" spans="14:55" ht="15.75" customHeight="1" x14ac:dyDescent="0.3"/>
    <row r="40" spans="14:55" ht="15.75" customHeight="1" x14ac:dyDescent="0.3"/>
    <row r="41" spans="14:55" ht="15.75" customHeight="1" x14ac:dyDescent="0.3"/>
    <row r="42" spans="14:55" ht="15.75" customHeight="1" x14ac:dyDescent="0.3"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4:55" ht="15.75" customHeight="1" x14ac:dyDescent="0.3"/>
    <row r="44" spans="14:55" ht="15.75" customHeight="1" x14ac:dyDescent="0.3"/>
    <row r="45" spans="14:55" ht="15.75" customHeight="1" x14ac:dyDescent="0.3"/>
    <row r="46" spans="14:55" ht="15.75" customHeight="1" x14ac:dyDescent="0.3"/>
    <row r="47" spans="14:55" ht="15.75" customHeight="1" x14ac:dyDescent="0.3"/>
    <row r="48" spans="14:5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</sheetData>
  <autoFilter ref="B18:BC18" xr:uid="{00000000-0009-0000-0000-000009000000}">
    <sortState xmlns:xlrd2="http://schemas.microsoft.com/office/spreadsheetml/2017/richdata2" ref="B19:BC25">
      <sortCondition ref="BB18"/>
    </sortState>
  </autoFilter>
  <mergeCells count="17">
    <mergeCell ref="B7:AT7"/>
    <mergeCell ref="B1:AT1"/>
    <mergeCell ref="B2:AT2"/>
    <mergeCell ref="B3:AT3"/>
    <mergeCell ref="B4:AT4"/>
    <mergeCell ref="B6:AT6"/>
    <mergeCell ref="O16:S17"/>
    <mergeCell ref="AV16:BC17"/>
    <mergeCell ref="B8:AT8"/>
    <mergeCell ref="B10:AT10"/>
    <mergeCell ref="B16:C17"/>
    <mergeCell ref="E16:E17"/>
    <mergeCell ref="G16:I17"/>
    <mergeCell ref="U16:AB17"/>
    <mergeCell ref="AD16:AK17"/>
    <mergeCell ref="AM16:AT17"/>
    <mergeCell ref="K16:M17"/>
  </mergeCells>
  <printOptions horizontalCentered="1" verticalCentered="1"/>
  <pageMargins left="0" right="0" top="0" bottom="0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9"/>
  <sheetViews>
    <sheetView topLeftCell="A8" workbookViewId="0">
      <selection activeCell="AL26" sqref="AL26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1.33203125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32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30+2+30+2+30+2</f>
        <v>96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31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RANK(C19,C$19:C$25,0)</f>
        <v>1</v>
      </c>
      <c r="C19" s="17">
        <f>SUMIF($G$12:$AJ$12,1,$G19:$AJ19)</f>
        <v>380</v>
      </c>
      <c r="D19" s="11"/>
      <c r="E19" s="11" t="s">
        <v>69</v>
      </c>
      <c r="F19" s="11"/>
      <c r="G19" s="17">
        <v>52</v>
      </c>
      <c r="H19" s="17">
        <f>RANK(G19,G$19:G$25,0)</f>
        <v>1</v>
      </c>
      <c r="I19" s="17">
        <f>VLOOKUP(H19,'Место-баллы'!$A$3:$B$52,2,0)</f>
        <v>100</v>
      </c>
      <c r="J19" s="9"/>
      <c r="K19" s="29">
        <v>3</v>
      </c>
      <c r="L19" s="29">
        <v>34</v>
      </c>
      <c r="M19" s="30">
        <f>TIME(0,K19,L19)</f>
        <v>2.4768518518518516E-3</v>
      </c>
      <c r="N19" s="29">
        <v>60</v>
      </c>
      <c r="O19" s="29">
        <f>N$13-N19</f>
        <v>0</v>
      </c>
      <c r="P19" s="30">
        <f>M19+TIME(0,0,O19)</f>
        <v>2.4768518518518516E-3</v>
      </c>
      <c r="Q19" s="29">
        <f>RANK(P19,P$19:P$25,1)</f>
        <v>2</v>
      </c>
      <c r="R19" s="29">
        <f>VLOOKUP(Q19,'Место-баллы'!$A$3:$B$52,2,0)</f>
        <v>95</v>
      </c>
      <c r="S19" s="9"/>
      <c r="T19" s="29">
        <v>8</v>
      </c>
      <c r="U19" s="29">
        <v>5</v>
      </c>
      <c r="V19" s="30">
        <f>TIME(0,T19,U19)</f>
        <v>5.6134259259259271E-3</v>
      </c>
      <c r="W19" s="29">
        <v>244</v>
      </c>
      <c r="X19" s="29">
        <f>W$13-W19</f>
        <v>107</v>
      </c>
      <c r="Y19" s="30">
        <f>V19+TIME(0,0,X19)</f>
        <v>6.8518518518518529E-3</v>
      </c>
      <c r="Z19" s="29">
        <f>RANK(Y19,Y$19:Y$25,1)</f>
        <v>3</v>
      </c>
      <c r="AA19" s="29">
        <f>VLOOKUP(Z19,'Место-баллы'!$A$3:$B$52,2,0)</f>
        <v>90</v>
      </c>
      <c r="AB19" s="9"/>
      <c r="AC19" s="29">
        <v>8</v>
      </c>
      <c r="AD19" s="29">
        <v>54</v>
      </c>
      <c r="AE19" s="30">
        <f>TIME(0,AC19,AD19)</f>
        <v>6.1805555555555563E-3</v>
      </c>
      <c r="AF19" s="29">
        <v>96</v>
      </c>
      <c r="AG19" s="29">
        <f>AF$13-AF19</f>
        <v>0</v>
      </c>
      <c r="AH19" s="30">
        <f>AE19+TIME(0,0,AG19)</f>
        <v>6.1805555555555563E-3</v>
      </c>
      <c r="AI19" s="29">
        <f>RANK(AH19,AH$19:AH$25,1)</f>
        <v>2</v>
      </c>
      <c r="AJ19" s="29">
        <f>VLOOKUP(AI19,'Место-баллы'!$A$3:$B$52,2,0)</f>
        <v>95</v>
      </c>
    </row>
    <row r="20" spans="1:36" ht="14.4" x14ac:dyDescent="0.3">
      <c r="A20" s="8"/>
      <c r="B20" s="17">
        <f>RANK(C20,C$19:C$25,0)</f>
        <v>2</v>
      </c>
      <c r="C20" s="17">
        <f>SUMIF($G$12:$AJ$12,1,$G20:$AJ20)</f>
        <v>370</v>
      </c>
      <c r="D20" s="11"/>
      <c r="E20" s="11" t="s">
        <v>68</v>
      </c>
      <c r="F20" s="11"/>
      <c r="G20" s="17">
        <v>44</v>
      </c>
      <c r="H20" s="17">
        <f>RANK(G20,G$19:G$25,0)</f>
        <v>4</v>
      </c>
      <c r="I20" s="17">
        <f>VLOOKUP(H20,'Место-баллы'!$A$3:$B$52,2,0)</f>
        <v>85</v>
      </c>
      <c r="J20" s="9"/>
      <c r="K20" s="29">
        <v>3</v>
      </c>
      <c r="L20" s="29">
        <v>36</v>
      </c>
      <c r="M20" s="30">
        <f>TIME(0,K20,L20)</f>
        <v>2.5000000000000001E-3</v>
      </c>
      <c r="N20" s="29">
        <v>60</v>
      </c>
      <c r="O20" s="29">
        <f>N$13-N20</f>
        <v>0</v>
      </c>
      <c r="P20" s="30">
        <f>M20+TIME(0,0,O20)</f>
        <v>2.5000000000000001E-3</v>
      </c>
      <c r="Q20" s="29">
        <f>RANK(P20,P$19:P$25,1)</f>
        <v>3</v>
      </c>
      <c r="R20" s="29">
        <f>VLOOKUP(Q20,'Место-баллы'!$A$3:$B$52,2,0)</f>
        <v>90</v>
      </c>
      <c r="S20" s="9"/>
      <c r="T20" s="29">
        <v>8</v>
      </c>
      <c r="U20" s="29">
        <v>5</v>
      </c>
      <c r="V20" s="30">
        <f>TIME(0,T20,U20)</f>
        <v>5.6134259259259271E-3</v>
      </c>
      <c r="W20" s="29">
        <v>270</v>
      </c>
      <c r="X20" s="29">
        <f>W$13-W20</f>
        <v>81</v>
      </c>
      <c r="Y20" s="30">
        <f>V20+TIME(0,0,X20)</f>
        <v>6.5509259259259271E-3</v>
      </c>
      <c r="Z20" s="29">
        <f>RANK(Y20,Y$19:Y$25,1)</f>
        <v>2</v>
      </c>
      <c r="AA20" s="29">
        <f>VLOOKUP(Z20,'Место-баллы'!$A$3:$B$52,2,0)</f>
        <v>95</v>
      </c>
      <c r="AB20" s="9"/>
      <c r="AC20" s="29">
        <v>7</v>
      </c>
      <c r="AD20" s="29">
        <v>2</v>
      </c>
      <c r="AE20" s="30">
        <f>TIME(0,AC20,AD20)</f>
        <v>4.8842592592592592E-3</v>
      </c>
      <c r="AF20" s="29">
        <v>96</v>
      </c>
      <c r="AG20" s="29">
        <f>AF$13-AF20</f>
        <v>0</v>
      </c>
      <c r="AH20" s="30">
        <f>AE20+TIME(0,0,AG20)</f>
        <v>4.8842592592592592E-3</v>
      </c>
      <c r="AI20" s="29">
        <f>RANK(AH20,AH$19:AH$25,1)</f>
        <v>1</v>
      </c>
      <c r="AJ20" s="29">
        <f>VLOOKUP(AI20,'Место-баллы'!$A$3:$B$52,2,0)</f>
        <v>100</v>
      </c>
    </row>
    <row r="21" spans="1:36" ht="14.4" x14ac:dyDescent="0.3">
      <c r="A21" s="8"/>
      <c r="B21" s="17">
        <v>3</v>
      </c>
      <c r="C21" s="17">
        <f>SUMIF($G$12:$AJ$12,1,$G21:$AJ21)</f>
        <v>370</v>
      </c>
      <c r="D21" s="11"/>
      <c r="E21" s="11" t="s">
        <v>67</v>
      </c>
      <c r="F21" s="11"/>
      <c r="G21" s="17">
        <v>45</v>
      </c>
      <c r="H21" s="17">
        <f>RANK(G21,G$19:G$25,0)</f>
        <v>2</v>
      </c>
      <c r="I21" s="17">
        <f>VLOOKUP(H21,'Место-баллы'!$A$3:$B$52,2,0)</f>
        <v>95</v>
      </c>
      <c r="J21" s="9"/>
      <c r="K21" s="29">
        <v>3</v>
      </c>
      <c r="L21" s="29">
        <v>37</v>
      </c>
      <c r="M21" s="30">
        <f>TIME(0,K21,L21)</f>
        <v>2.5115740740740741E-3</v>
      </c>
      <c r="N21" s="29">
        <v>60</v>
      </c>
      <c r="O21" s="29">
        <f>N$13-N21</f>
        <v>0</v>
      </c>
      <c r="P21" s="30">
        <f>M21+TIME(0,0,O21)</f>
        <v>2.5115740740740741E-3</v>
      </c>
      <c r="Q21" s="29">
        <f>RANK(P21,P$19:P$25,1)</f>
        <v>4</v>
      </c>
      <c r="R21" s="29">
        <f>VLOOKUP(Q21,'Место-баллы'!$A$3:$B$52,2,0)</f>
        <v>85</v>
      </c>
      <c r="S21" s="9"/>
      <c r="T21" s="29">
        <v>8</v>
      </c>
      <c r="U21" s="29">
        <v>5</v>
      </c>
      <c r="V21" s="30">
        <f>TIME(0,T21,U21)</f>
        <v>5.6134259259259271E-3</v>
      </c>
      <c r="W21" s="29">
        <f>251+83</f>
        <v>334</v>
      </c>
      <c r="X21" s="29">
        <f>W$13-W21</f>
        <v>17</v>
      </c>
      <c r="Y21" s="30">
        <f>V21+TIME(0,0,X21)</f>
        <v>5.8101851851851865E-3</v>
      </c>
      <c r="Z21" s="29">
        <f>RANK(Y21,Y$19:Y$25,1)</f>
        <v>1</v>
      </c>
      <c r="AA21" s="29">
        <f>VLOOKUP(Z21,'Место-баллы'!$A$3:$B$52,2,0)</f>
        <v>100</v>
      </c>
      <c r="AB21" s="9"/>
      <c r="AC21" s="29">
        <v>9</v>
      </c>
      <c r="AD21" s="29">
        <v>7</v>
      </c>
      <c r="AE21" s="30">
        <f>TIME(0,AC21,AD21)</f>
        <v>6.3310185185185197E-3</v>
      </c>
      <c r="AF21" s="29">
        <v>96</v>
      </c>
      <c r="AG21" s="29">
        <f>AF$13-AF21</f>
        <v>0</v>
      </c>
      <c r="AH21" s="30">
        <f>AE21+TIME(0,0,AG21)</f>
        <v>6.3310185185185197E-3</v>
      </c>
      <c r="AI21" s="29">
        <f>RANK(AH21,AH$19:AH$25,1)</f>
        <v>3</v>
      </c>
      <c r="AJ21" s="29">
        <f>VLOOKUP(AI21,'Место-баллы'!$A$3:$B$52,2,0)</f>
        <v>90</v>
      </c>
    </row>
    <row r="22" spans="1:36" ht="14.4" x14ac:dyDescent="0.3">
      <c r="A22" s="8"/>
      <c r="B22" s="17">
        <f>RANK(C22,C$19:C$25,0)</f>
        <v>4</v>
      </c>
      <c r="C22" s="17">
        <f>SUMIF($G$12:$AJ$12,1,$G22:$AJ22)</f>
        <v>340</v>
      </c>
      <c r="D22" s="11"/>
      <c r="E22" s="11" t="s">
        <v>70</v>
      </c>
      <c r="F22" s="11"/>
      <c r="G22" s="17">
        <v>38</v>
      </c>
      <c r="H22" s="17">
        <f>RANK(G22,G$19:G$25,0)</f>
        <v>6</v>
      </c>
      <c r="I22" s="17">
        <f>VLOOKUP(H22,'Место-баллы'!$A$3:$B$52,2,0)</f>
        <v>75</v>
      </c>
      <c r="J22" s="9"/>
      <c r="K22" s="29">
        <v>3</v>
      </c>
      <c r="L22" s="29">
        <v>29</v>
      </c>
      <c r="M22" s="30">
        <f>TIME(0,K22,L22)</f>
        <v>2.4189814814814816E-3</v>
      </c>
      <c r="N22" s="29">
        <v>60</v>
      </c>
      <c r="O22" s="29">
        <f>N$13-N22</f>
        <v>0</v>
      </c>
      <c r="P22" s="30">
        <f>M22+TIME(0,0,O22)</f>
        <v>2.4189814814814816E-3</v>
      </c>
      <c r="Q22" s="29">
        <f>RANK(P22,P$19:P$25,1)</f>
        <v>1</v>
      </c>
      <c r="R22" s="29">
        <f>VLOOKUP(Q22,'Место-баллы'!$A$3:$B$52,2,0)</f>
        <v>100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v>234</v>
      </c>
      <c r="X22" s="29">
        <f>W$13-W22</f>
        <v>117</v>
      </c>
      <c r="Y22" s="30">
        <f>V22+TIME(0,0,X22)</f>
        <v>6.9675925925925938E-3</v>
      </c>
      <c r="Z22" s="29">
        <f>RANK(Y22,Y$19:Y$25,1)</f>
        <v>5</v>
      </c>
      <c r="AA22" s="29">
        <f>VLOOKUP(Z22,'Место-баллы'!$A$3:$B$52,2,0)</f>
        <v>80</v>
      </c>
      <c r="AB22" s="9"/>
      <c r="AC22" s="29">
        <v>9</v>
      </c>
      <c r="AD22" s="29">
        <v>43</v>
      </c>
      <c r="AE22" s="30">
        <f>TIME(0,AC22,AD22)</f>
        <v>6.7476851851851856E-3</v>
      </c>
      <c r="AF22" s="29">
        <v>96</v>
      </c>
      <c r="AG22" s="29">
        <f>AF$13-AF22</f>
        <v>0</v>
      </c>
      <c r="AH22" s="30">
        <f>AE22+TIME(0,0,AG22)</f>
        <v>6.7476851851851856E-3</v>
      </c>
      <c r="AI22" s="29">
        <f>RANK(AH22,AH$19:AH$25,1)</f>
        <v>4</v>
      </c>
      <c r="AJ22" s="29">
        <f>VLOOKUP(AI22,'Место-баллы'!$A$3:$B$52,2,0)</f>
        <v>85</v>
      </c>
    </row>
    <row r="23" spans="1:36" ht="14.4" x14ac:dyDescent="0.3">
      <c r="A23" s="8"/>
      <c r="B23" s="17">
        <f>RANK(C23,C$19:C$25,0)</f>
        <v>5</v>
      </c>
      <c r="C23" s="17">
        <f>SUMIF($G$12:$AJ$12,1,$G23:$AJ23)</f>
        <v>320</v>
      </c>
      <c r="D23" s="11"/>
      <c r="E23" s="11" t="s">
        <v>66</v>
      </c>
      <c r="F23" s="11"/>
      <c r="G23" s="17">
        <v>40</v>
      </c>
      <c r="H23" s="17">
        <f>RANK(G23,G$19:G$25,0)</f>
        <v>5</v>
      </c>
      <c r="I23" s="17">
        <f>VLOOKUP(H23,'Место-баллы'!$A$3:$B$52,2,0)</f>
        <v>80</v>
      </c>
      <c r="J23" s="9"/>
      <c r="K23" s="29">
        <v>3</v>
      </c>
      <c r="L23" s="29">
        <v>51</v>
      </c>
      <c r="M23" s="30">
        <f>TIME(0,K23,L23)</f>
        <v>2.673611111111111E-3</v>
      </c>
      <c r="N23" s="29">
        <v>60</v>
      </c>
      <c r="O23" s="29">
        <f>N$13-N23</f>
        <v>0</v>
      </c>
      <c r="P23" s="30">
        <f>M23+TIME(0,0,O23)</f>
        <v>2.673611111111111E-3</v>
      </c>
      <c r="Q23" s="29">
        <f>RANK(P23,P$19:P$25,1)</f>
        <v>5</v>
      </c>
      <c r="R23" s="29">
        <f>VLOOKUP(Q23,'Место-баллы'!$A$3:$B$52,2,0)</f>
        <v>80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235</v>
      </c>
      <c r="X23" s="29">
        <f>W$13-W23</f>
        <v>116</v>
      </c>
      <c r="Y23" s="30">
        <f>V23+TIME(0,0,X23)</f>
        <v>6.9560185185185194E-3</v>
      </c>
      <c r="Z23" s="29">
        <f>RANK(Y23,Y$19:Y$25,1)</f>
        <v>4</v>
      </c>
      <c r="AA23" s="29">
        <f>VLOOKUP(Z23,'Место-баллы'!$A$3:$B$52,2,0)</f>
        <v>85</v>
      </c>
      <c r="AB23" s="9"/>
      <c r="AC23" s="29">
        <v>12</v>
      </c>
      <c r="AD23" s="29">
        <v>5</v>
      </c>
      <c r="AE23" s="30">
        <f>TIME(0,AC23,AD23)</f>
        <v>8.3912037037037045E-3</v>
      </c>
      <c r="AF23" s="29">
        <v>92</v>
      </c>
      <c r="AG23" s="29">
        <f>AF$13-AF23</f>
        <v>4</v>
      </c>
      <c r="AH23" s="30">
        <f>AE23+TIME(0,0,AG23)</f>
        <v>8.4375000000000006E-3</v>
      </c>
      <c r="AI23" s="29">
        <f>RANK(AH23,AH$19:AH$25,1)</f>
        <v>6</v>
      </c>
      <c r="AJ23" s="29">
        <f>VLOOKUP(AI23,'Место-баллы'!$A$3:$B$52,2,0)</f>
        <v>75</v>
      </c>
    </row>
    <row r="24" spans="1:36" ht="14.4" x14ac:dyDescent="0.3">
      <c r="A24" s="8"/>
      <c r="B24" s="17">
        <f>RANK(C24,C$19:C$25,0)</f>
        <v>6</v>
      </c>
      <c r="C24" s="17">
        <f>SUMIF($G$12:$AJ$12,1,$G24:$AJ24)</f>
        <v>314</v>
      </c>
      <c r="D24" s="11"/>
      <c r="E24" s="11" t="s">
        <v>71</v>
      </c>
      <c r="F24" s="11"/>
      <c r="G24" s="17">
        <v>45</v>
      </c>
      <c r="H24" s="17">
        <f>RANK(G24,G$19:G$25,0)</f>
        <v>2</v>
      </c>
      <c r="I24" s="17">
        <f>VLOOKUP(H24,'Место-баллы'!$A$3:$B$52,2,0)</f>
        <v>95</v>
      </c>
      <c r="J24" s="9"/>
      <c r="K24" s="29">
        <v>4</v>
      </c>
      <c r="L24" s="29">
        <v>7</v>
      </c>
      <c r="M24" s="30">
        <f>TIME(0,K24,L24)</f>
        <v>2.8587962962962963E-3</v>
      </c>
      <c r="N24" s="29">
        <v>60</v>
      </c>
      <c r="O24" s="29">
        <f>N$13-N24</f>
        <v>0</v>
      </c>
      <c r="P24" s="30">
        <f>M24+TIME(0,0,O24)</f>
        <v>2.8587962962962963E-3</v>
      </c>
      <c r="Q24" s="29">
        <f>RANK(P24,P$19:P$25,1)</f>
        <v>7</v>
      </c>
      <c r="R24" s="29">
        <f>VLOOKUP(Q24,'Место-баллы'!$A$3:$B$52,2,0)</f>
        <v>73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v>1</v>
      </c>
      <c r="X24" s="29">
        <f>W$13-W24</f>
        <v>350</v>
      </c>
      <c r="Y24" s="30">
        <f>V24+TIME(0,0,X24)</f>
        <v>9.6643518518518528E-3</v>
      </c>
      <c r="Z24" s="29">
        <f>RANK(Y24,Y$19:Y$25,1)</f>
        <v>7</v>
      </c>
      <c r="AA24" s="29">
        <f>VLOOKUP(Z24,'Место-баллы'!$A$3:$B$52,2,0)</f>
        <v>73</v>
      </c>
      <c r="AB24" s="9"/>
      <c r="AC24" s="29">
        <v>12</v>
      </c>
      <c r="AD24" s="29">
        <v>5</v>
      </c>
      <c r="AE24" s="30">
        <f>TIME(0,AC24,AD24)</f>
        <v>8.3912037037037045E-3</v>
      </c>
      <c r="AF24" s="29">
        <v>78</v>
      </c>
      <c r="AG24" s="29">
        <f>AF$13-AF24</f>
        <v>18</v>
      </c>
      <c r="AH24" s="30">
        <f>AE24+TIME(0,0,AG24)</f>
        <v>8.5995370370370375E-3</v>
      </c>
      <c r="AI24" s="29">
        <f>RANK(AH24,AH$19:AH$25,1)</f>
        <v>7</v>
      </c>
      <c r="AJ24" s="29">
        <f>VLOOKUP(AI24,'Место-баллы'!$A$3:$B$52,2,0)</f>
        <v>73</v>
      </c>
    </row>
    <row r="25" spans="1:36" ht="14.4" x14ac:dyDescent="0.3">
      <c r="A25" s="8"/>
      <c r="B25" s="17">
        <f>RANK(C25,C$19:C$25,0)</f>
        <v>7</v>
      </c>
      <c r="C25" s="17">
        <f>SUMIF($G$12:$AJ$12,1,$G25:$AJ25)</f>
        <v>308</v>
      </c>
      <c r="D25" s="11"/>
      <c r="E25" s="11" t="s">
        <v>72</v>
      </c>
      <c r="F25" s="11"/>
      <c r="G25" s="17">
        <v>35</v>
      </c>
      <c r="H25" s="17">
        <f>RANK(G25,G$19:G$25,0)</f>
        <v>7</v>
      </c>
      <c r="I25" s="17">
        <f>VLOOKUP(H25,'Место-баллы'!$A$3:$B$52,2,0)</f>
        <v>73</v>
      </c>
      <c r="J25" s="9"/>
      <c r="K25" s="29">
        <v>3</v>
      </c>
      <c r="L25" s="29">
        <v>55</v>
      </c>
      <c r="M25" s="30">
        <f>TIME(0,K25,L25)</f>
        <v>2.7199074074074074E-3</v>
      </c>
      <c r="N25" s="29">
        <v>60</v>
      </c>
      <c r="O25" s="29">
        <f>N$13-N25</f>
        <v>0</v>
      </c>
      <c r="P25" s="30">
        <f>M25+TIME(0,0,O25)</f>
        <v>2.7199074074074074E-3</v>
      </c>
      <c r="Q25" s="29">
        <f>RANK(P25,P$19:P$25,1)</f>
        <v>6</v>
      </c>
      <c r="R25" s="29">
        <f>VLOOKUP(Q25,'Место-баллы'!$A$3:$B$52,2,0)</f>
        <v>75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v>234</v>
      </c>
      <c r="X25" s="29">
        <f>W$13-W25</f>
        <v>117</v>
      </c>
      <c r="Y25" s="30">
        <f>V25+TIME(0,0,X25)</f>
        <v>6.9675925925925938E-3</v>
      </c>
      <c r="Z25" s="29">
        <f>RANK(Y25,Y$19:Y$25,1)</f>
        <v>5</v>
      </c>
      <c r="AA25" s="29">
        <f>VLOOKUP(Z25,'Место-баллы'!$A$3:$B$52,2,0)</f>
        <v>80</v>
      </c>
      <c r="AB25" s="9"/>
      <c r="AC25" s="29">
        <v>11</v>
      </c>
      <c r="AD25" s="29">
        <v>43</v>
      </c>
      <c r="AE25" s="30">
        <f>TIME(0,AC25,AD25)</f>
        <v>8.1365740740740738E-3</v>
      </c>
      <c r="AF25" s="29">
        <v>96</v>
      </c>
      <c r="AG25" s="29">
        <f>AF$13-AF25</f>
        <v>0</v>
      </c>
      <c r="AH25" s="30">
        <f>AE25+TIME(0,0,AG25)</f>
        <v>8.1365740740740738E-3</v>
      </c>
      <c r="AI25" s="29">
        <f>RANK(AH25,AH$19:AH$25,1)</f>
        <v>5</v>
      </c>
      <c r="AJ25" s="29">
        <f>VLOOKUP(AI25,'Место-баллы'!$A$3:$B$52,2,0)</f>
        <v>80</v>
      </c>
    </row>
    <row r="26" spans="1:36" ht="15.75" customHeight="1" x14ac:dyDescent="0.3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5.75" customHeight="1" x14ac:dyDescent="0.3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5.75" customHeight="1" outlineLevel="1" x14ac:dyDescent="0.35">
      <c r="A28" s="8"/>
      <c r="B28" s="22" t="s">
        <v>19</v>
      </c>
      <c r="C28" s="22"/>
      <c r="D28" s="22"/>
      <c r="E28" s="22"/>
      <c r="F28" s="22"/>
      <c r="G28" s="22"/>
      <c r="H28" s="2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.75" customHeight="1" outlineLevel="1" x14ac:dyDescent="0.3">
      <c r="B29" s="23"/>
      <c r="C29" s="23"/>
      <c r="D29" s="23"/>
      <c r="E29" s="2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outlineLevel="1" x14ac:dyDescent="0.35">
      <c r="B30" s="22" t="s">
        <v>20</v>
      </c>
      <c r="C30" s="22"/>
      <c r="D30" s="22"/>
      <c r="E30" s="22"/>
      <c r="F30" s="22"/>
      <c r="G30" s="22"/>
      <c r="H30" s="2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x14ac:dyDescent="0.3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x14ac:dyDescent="0.3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0:36" ht="15.75" customHeight="1" x14ac:dyDescent="0.3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0:36" ht="15.75" customHeight="1" x14ac:dyDescent="0.3"/>
    <row r="35" spans="10:36" ht="15.75" customHeight="1" x14ac:dyDescent="0.3"/>
    <row r="36" spans="10:36" ht="15.75" customHeight="1" x14ac:dyDescent="0.3"/>
    <row r="37" spans="10:36" ht="15.75" customHeight="1" x14ac:dyDescent="0.3"/>
    <row r="38" spans="10:36" ht="15.75" customHeight="1" x14ac:dyDescent="0.3"/>
    <row r="39" spans="10:36" ht="15.75" customHeight="1" x14ac:dyDescent="0.3"/>
    <row r="40" spans="10:36" ht="15.75" customHeight="1" x14ac:dyDescent="0.3"/>
    <row r="41" spans="10:36" ht="15.75" customHeight="1" x14ac:dyDescent="0.3"/>
    <row r="42" spans="10:36" ht="15.75" customHeight="1" x14ac:dyDescent="0.3"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0:36" ht="15.75" customHeight="1" x14ac:dyDescent="0.3"/>
    <row r="44" spans="10:36" ht="15.75" customHeight="1" x14ac:dyDescent="0.3"/>
    <row r="45" spans="10:36" ht="15.75" customHeight="1" x14ac:dyDescent="0.3"/>
    <row r="46" spans="10:36" ht="15.75" customHeight="1" x14ac:dyDescent="0.3"/>
    <row r="47" spans="10:36" ht="15.75" customHeight="1" x14ac:dyDescent="0.3"/>
    <row r="48" spans="10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</sheetData>
  <autoFilter ref="B18:AJ18" xr:uid="{00000000-0009-0000-0000-000001000000}">
    <sortState xmlns:xlrd2="http://schemas.microsoft.com/office/spreadsheetml/2017/richdata2" ref="B19:AJ25">
      <sortCondition ref="B18"/>
    </sortState>
  </autoFilter>
  <mergeCells count="14">
    <mergeCell ref="B7:AJ7"/>
    <mergeCell ref="B1:AJ1"/>
    <mergeCell ref="B2:AJ2"/>
    <mergeCell ref="B3:AJ3"/>
    <mergeCell ref="B4:AJ4"/>
    <mergeCell ref="B6:AJ6"/>
    <mergeCell ref="B8:AJ8"/>
    <mergeCell ref="B10:AJ10"/>
    <mergeCell ref="B16:C17"/>
    <mergeCell ref="E16:E17"/>
    <mergeCell ref="G16:I17"/>
    <mergeCell ref="K16:R17"/>
    <mergeCell ref="T16:AA17"/>
    <mergeCell ref="AC16:AJ17"/>
  </mergeCells>
  <printOptions horizontalCentered="1" verticalCentered="1"/>
  <pageMargins left="0" right="0" top="0" bottom="0" header="0" footer="0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95"/>
  <sheetViews>
    <sheetView topLeftCell="A8" workbookViewId="0">
      <selection activeCell="B10" sqref="B10:AJ3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34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30+2+30+2+30+2</f>
        <v>96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33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RANK(C19,C$19:C$31,0)</f>
        <v>1</v>
      </c>
      <c r="C19" s="17">
        <f>SUMIF($G$12:$AJ$12,1,$G19:$AJ19)</f>
        <v>370</v>
      </c>
      <c r="D19" s="11"/>
      <c r="E19" s="11" t="s">
        <v>85</v>
      </c>
      <c r="F19" s="11"/>
      <c r="G19" s="17">
        <v>90</v>
      </c>
      <c r="H19" s="17">
        <f>RANK(G19,G$19:G$31,0)</f>
        <v>2</v>
      </c>
      <c r="I19" s="17">
        <f>VLOOKUP(H19,'Место-баллы'!$A$3:$B$52,2,0)</f>
        <v>95</v>
      </c>
      <c r="J19" s="9"/>
      <c r="K19" s="29">
        <v>3</v>
      </c>
      <c r="L19" s="29">
        <v>6</v>
      </c>
      <c r="M19" s="30">
        <f>TIME(0,K19,L19)</f>
        <v>2.1527777777777778E-3</v>
      </c>
      <c r="N19" s="29">
        <v>60</v>
      </c>
      <c r="O19" s="29">
        <f>N$13-N19</f>
        <v>0</v>
      </c>
      <c r="P19" s="30">
        <f>M19+TIME(0,0,O19)</f>
        <v>2.1527777777777778E-3</v>
      </c>
      <c r="Q19" s="29">
        <f>RANK(P19,P$19:P$31,1)</f>
        <v>4</v>
      </c>
      <c r="R19" s="29">
        <f>VLOOKUP(Q19,'Место-баллы'!$A$3:$B$52,2,0)</f>
        <v>85</v>
      </c>
      <c r="S19" s="9"/>
      <c r="T19" s="29">
        <v>6</v>
      </c>
      <c r="U19" s="29">
        <v>17</v>
      </c>
      <c r="V19" s="30">
        <f>TIME(0,T19,U19)</f>
        <v>4.363425925925926E-3</v>
      </c>
      <c r="W19" s="29">
        <v>351</v>
      </c>
      <c r="X19" s="29">
        <f>W$13-W19</f>
        <v>0</v>
      </c>
      <c r="Y19" s="30">
        <f>V19+TIME(0,0,X19)</f>
        <v>4.363425925925926E-3</v>
      </c>
      <c r="Z19" s="29">
        <f>RANK(Y19,Y$19:Y$31,1)</f>
        <v>2</v>
      </c>
      <c r="AA19" s="29">
        <f>VLOOKUP(Z19,'Место-баллы'!$A$3:$B$52,2,0)</f>
        <v>95</v>
      </c>
      <c r="AB19" s="9"/>
      <c r="AC19" s="29">
        <v>5</v>
      </c>
      <c r="AD19" s="29">
        <v>8</v>
      </c>
      <c r="AE19" s="30">
        <f>TIME(0,AC19,AD19)</f>
        <v>3.5648148148148154E-3</v>
      </c>
      <c r="AF19" s="29">
        <v>96</v>
      </c>
      <c r="AG19" s="29">
        <f>AF$13-AF19</f>
        <v>0</v>
      </c>
      <c r="AH19" s="30">
        <f>AE19+TIME(0,0,AG19)</f>
        <v>3.5648148148148154E-3</v>
      </c>
      <c r="AI19" s="29">
        <f>RANK(AH19,AH$19:AH$31,1)</f>
        <v>2</v>
      </c>
      <c r="AJ19" s="29">
        <f>VLOOKUP(AI19,'Место-баллы'!$A$3:$B$52,2,0)</f>
        <v>95</v>
      </c>
    </row>
    <row r="20" spans="1:36" ht="14.4" x14ac:dyDescent="0.3">
      <c r="A20" s="8"/>
      <c r="B20" s="17">
        <f>RANK(C20,C$19:C$31,0)</f>
        <v>2</v>
      </c>
      <c r="C20" s="17">
        <f>SUMIF($G$12:$AJ$12,1,$G20:$AJ20)</f>
        <v>366</v>
      </c>
      <c r="D20" s="11"/>
      <c r="E20" s="11" t="s">
        <v>80</v>
      </c>
      <c r="F20" s="11"/>
      <c r="G20" s="17">
        <v>82</v>
      </c>
      <c r="H20" s="17">
        <f>RANK(G20,G$19:G$31,0)</f>
        <v>8</v>
      </c>
      <c r="I20" s="17">
        <f>VLOOKUP(H20,'Место-баллы'!$A$3:$B$52,2,0)</f>
        <v>71</v>
      </c>
      <c r="J20" s="9"/>
      <c r="K20" s="29">
        <v>2</v>
      </c>
      <c r="L20" s="29">
        <v>54</v>
      </c>
      <c r="M20" s="30">
        <f>TIME(0,K20,L20)</f>
        <v>2.0138888888888888E-3</v>
      </c>
      <c r="N20" s="29">
        <v>60</v>
      </c>
      <c r="O20" s="29">
        <f>N$13-N20</f>
        <v>0</v>
      </c>
      <c r="P20" s="30">
        <f>M20+TIME(0,0,O20)</f>
        <v>2.0138888888888888E-3</v>
      </c>
      <c r="Q20" s="29">
        <f>RANK(P20,P$19:P$31,1)</f>
        <v>2</v>
      </c>
      <c r="R20" s="29">
        <f>VLOOKUP(Q20,'Место-баллы'!$A$3:$B$52,2,0)</f>
        <v>95</v>
      </c>
      <c r="S20" s="9"/>
      <c r="T20" s="29">
        <v>5</v>
      </c>
      <c r="U20" s="29">
        <v>4</v>
      </c>
      <c r="V20" s="30">
        <f>TIME(0,T20,U20)</f>
        <v>3.5185185185185185E-3</v>
      </c>
      <c r="W20" s="29">
        <v>351</v>
      </c>
      <c r="X20" s="29">
        <f>W$13-W20</f>
        <v>0</v>
      </c>
      <c r="Y20" s="30">
        <f>V20+TIME(0,0,X20)</f>
        <v>3.5185185185185185E-3</v>
      </c>
      <c r="Z20" s="29">
        <f>RANK(Y20,Y$19:Y$31,1)</f>
        <v>1</v>
      </c>
      <c r="AA20" s="29">
        <f>VLOOKUP(Z20,'Место-баллы'!$A$3:$B$52,2,0)</f>
        <v>100</v>
      </c>
      <c r="AB20" s="9"/>
      <c r="AC20" s="29">
        <v>5</v>
      </c>
      <c r="AD20" s="29">
        <v>7</v>
      </c>
      <c r="AE20" s="30">
        <f>TIME(0,AC20,AD20)</f>
        <v>3.5532407407407405E-3</v>
      </c>
      <c r="AF20" s="29">
        <v>96</v>
      </c>
      <c r="AG20" s="29">
        <f>AF$13-AF20</f>
        <v>0</v>
      </c>
      <c r="AH20" s="30">
        <f>AE20+TIME(0,0,AG20)</f>
        <v>3.5532407407407405E-3</v>
      </c>
      <c r="AI20" s="29">
        <f>RANK(AH20,AH$19:AH$31,1)</f>
        <v>1</v>
      </c>
      <c r="AJ20" s="29">
        <f>VLOOKUP(AI20,'Место-баллы'!$A$3:$B$52,2,0)</f>
        <v>100</v>
      </c>
    </row>
    <row r="21" spans="1:36" ht="14.4" x14ac:dyDescent="0.3">
      <c r="A21" s="8"/>
      <c r="B21" s="17">
        <f>RANK(C21,C$19:C$31,0)</f>
        <v>3</v>
      </c>
      <c r="C21" s="17">
        <f>SUMIF($G$12:$AJ$12,1,$G21:$AJ21)</f>
        <v>361</v>
      </c>
      <c r="D21" s="11"/>
      <c r="E21" s="11" t="s">
        <v>84</v>
      </c>
      <c r="F21" s="11"/>
      <c r="G21" s="17">
        <v>100</v>
      </c>
      <c r="H21" s="17">
        <f>RANK(G21,G$19:G$31,0)</f>
        <v>1</v>
      </c>
      <c r="I21" s="17">
        <f>VLOOKUP(H21,'Место-баллы'!$A$3:$B$52,2,0)</f>
        <v>100</v>
      </c>
      <c r="J21" s="9"/>
      <c r="K21" s="29">
        <v>2</v>
      </c>
      <c r="L21" s="29">
        <v>46</v>
      </c>
      <c r="M21" s="30">
        <f>TIME(0,K21,L21)</f>
        <v>1.9212962962962962E-3</v>
      </c>
      <c r="N21" s="29">
        <v>60</v>
      </c>
      <c r="O21" s="29">
        <f>N$13-N21</f>
        <v>0</v>
      </c>
      <c r="P21" s="30">
        <f>M21+TIME(0,0,O21)</f>
        <v>1.9212962962962962E-3</v>
      </c>
      <c r="Q21" s="29">
        <f>RANK(P21,P$19:P$31,1)</f>
        <v>1</v>
      </c>
      <c r="R21" s="29">
        <f>VLOOKUP(Q21,'Место-баллы'!$A$3:$B$52,2,0)</f>
        <v>100</v>
      </c>
      <c r="S21" s="9"/>
      <c r="T21" s="29">
        <v>7</v>
      </c>
      <c r="U21" s="29">
        <v>37</v>
      </c>
      <c r="V21" s="30">
        <f>TIME(0,T21,U21)</f>
        <v>5.2893518518518515E-3</v>
      </c>
      <c r="W21" s="29">
        <v>351</v>
      </c>
      <c r="X21" s="29">
        <f>W$13-W21</f>
        <v>0</v>
      </c>
      <c r="Y21" s="30">
        <f>V21+TIME(0,0,X21)</f>
        <v>5.2893518518518515E-3</v>
      </c>
      <c r="Z21" s="29">
        <f>RANK(Y21,Y$19:Y$31,1)</f>
        <v>8</v>
      </c>
      <c r="AA21" s="29">
        <f>VLOOKUP(Z21,'Место-баллы'!$A$3:$B$52,2,0)</f>
        <v>71</v>
      </c>
      <c r="AB21" s="9"/>
      <c r="AC21" s="29">
        <v>5</v>
      </c>
      <c r="AD21" s="29">
        <v>48</v>
      </c>
      <c r="AE21" s="30">
        <f>TIME(0,AC21,AD21)</f>
        <v>4.0277777777777777E-3</v>
      </c>
      <c r="AF21" s="29">
        <v>96</v>
      </c>
      <c r="AG21" s="29">
        <f>AF$13-AF21</f>
        <v>0</v>
      </c>
      <c r="AH21" s="30">
        <f>AE21+TIME(0,0,AG21)</f>
        <v>4.0277777777777777E-3</v>
      </c>
      <c r="AI21" s="29">
        <f>RANK(AH21,AH$19:AH$31,1)</f>
        <v>3</v>
      </c>
      <c r="AJ21" s="29">
        <f>VLOOKUP(AI21,'Место-баллы'!$A$3:$B$52,2,0)</f>
        <v>90</v>
      </c>
    </row>
    <row r="22" spans="1:36" ht="14.4" x14ac:dyDescent="0.3">
      <c r="A22" s="8"/>
      <c r="B22" s="17">
        <f>RANK(C22,C$19:C$31,0)</f>
        <v>4</v>
      </c>
      <c r="C22" s="17">
        <f>SUMIF($G$12:$AJ$12,1,$G22:$AJ22)</f>
        <v>313</v>
      </c>
      <c r="D22" s="11"/>
      <c r="E22" s="11" t="s">
        <v>82</v>
      </c>
      <c r="F22" s="11"/>
      <c r="G22" s="17">
        <v>90</v>
      </c>
      <c r="H22" s="17">
        <f>RANK(G22,G$19:G$31,0)</f>
        <v>2</v>
      </c>
      <c r="I22" s="17">
        <f>VLOOKUP(H22,'Место-баллы'!$A$3:$B$52,2,0)</f>
        <v>95</v>
      </c>
      <c r="J22" s="9"/>
      <c r="K22" s="29">
        <v>3</v>
      </c>
      <c r="L22" s="29">
        <v>19</v>
      </c>
      <c r="M22" s="30">
        <f>TIME(0,K22,L22)</f>
        <v>2.3032407407407407E-3</v>
      </c>
      <c r="N22" s="29">
        <v>60</v>
      </c>
      <c r="O22" s="29">
        <f>N$13-N22</f>
        <v>0</v>
      </c>
      <c r="P22" s="30">
        <f>M22+TIME(0,0,O22)</f>
        <v>2.3032407407407407E-3</v>
      </c>
      <c r="Q22" s="29">
        <f>RANK(P22,P$19:P$31,1)</f>
        <v>7</v>
      </c>
      <c r="R22" s="29">
        <f>VLOOKUP(Q22,'Место-баллы'!$A$3:$B$52,2,0)</f>
        <v>73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f>251+84</f>
        <v>335</v>
      </c>
      <c r="X22" s="29">
        <f>W$13-W22</f>
        <v>16</v>
      </c>
      <c r="Y22" s="30">
        <f>V22+TIME(0,0,X22)</f>
        <v>5.798611111111112E-3</v>
      </c>
      <c r="Z22" s="29">
        <f>RANK(Y22,Y$19:Y$31,1)</f>
        <v>11</v>
      </c>
      <c r="AA22" s="29">
        <f>VLOOKUP(Z22,'Место-баллы'!$A$3:$B$52,2,0)</f>
        <v>65</v>
      </c>
      <c r="AB22" s="9"/>
      <c r="AC22" s="29">
        <v>5</v>
      </c>
      <c r="AD22" s="29">
        <v>49</v>
      </c>
      <c r="AE22" s="30">
        <f>TIME(0,AC22,AD22)</f>
        <v>4.0393518518518521E-3</v>
      </c>
      <c r="AF22" s="29">
        <v>96</v>
      </c>
      <c r="AG22" s="29">
        <f>AF$13-AF22</f>
        <v>0</v>
      </c>
      <c r="AH22" s="30">
        <f>AE22+TIME(0,0,AG22)</f>
        <v>4.0393518518518521E-3</v>
      </c>
      <c r="AI22" s="29">
        <f>RANK(AH22,AH$19:AH$31,1)</f>
        <v>5</v>
      </c>
      <c r="AJ22" s="29">
        <f>VLOOKUP(AI22,'Место-баллы'!$A$3:$B$52,2,0)</f>
        <v>80</v>
      </c>
    </row>
    <row r="23" spans="1:36" ht="14.4" x14ac:dyDescent="0.3">
      <c r="A23" s="8"/>
      <c r="B23" s="17">
        <f>RANK(C23,C$19:C$31,0)</f>
        <v>5</v>
      </c>
      <c r="C23" s="17">
        <f>SUMIF($G$12:$AJ$12,1,$G23:$AJ23)</f>
        <v>309</v>
      </c>
      <c r="D23" s="11"/>
      <c r="E23" s="11" t="s">
        <v>78</v>
      </c>
      <c r="F23" s="11"/>
      <c r="G23" s="17">
        <v>87</v>
      </c>
      <c r="H23" s="17">
        <f>RANK(G23,G$19:G$31,0)</f>
        <v>4</v>
      </c>
      <c r="I23" s="17">
        <f>VLOOKUP(H23,'Место-баллы'!$A$3:$B$52,2,0)</f>
        <v>85</v>
      </c>
      <c r="J23" s="9"/>
      <c r="K23" s="29">
        <v>3</v>
      </c>
      <c r="L23" s="29">
        <v>2</v>
      </c>
      <c r="M23" s="30">
        <f>TIME(0,K23,L23)</f>
        <v>2.1064814814814813E-3</v>
      </c>
      <c r="N23" s="29">
        <v>60</v>
      </c>
      <c r="O23" s="29">
        <f>N$13-N23</f>
        <v>0</v>
      </c>
      <c r="P23" s="30">
        <f>M23+TIME(0,0,O23)</f>
        <v>2.1064814814814813E-3</v>
      </c>
      <c r="Q23" s="29">
        <f>RANK(P23,P$19:P$31,1)</f>
        <v>3</v>
      </c>
      <c r="R23" s="29">
        <f>VLOOKUP(Q23,'Место-баллы'!$A$3:$B$52,2,0)</f>
        <v>90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251</v>
      </c>
      <c r="X23" s="29">
        <f>W$13-W23</f>
        <v>100</v>
      </c>
      <c r="Y23" s="30">
        <f>V23+TIME(0,0,X23)</f>
        <v>6.7708333333333344E-3</v>
      </c>
      <c r="Z23" s="29">
        <f>RANK(Y23,Y$19:Y$31,1)</f>
        <v>13</v>
      </c>
      <c r="AA23" s="29">
        <f>VLOOKUP(Z23,'Место-баллы'!$A$3:$B$52,2,0)</f>
        <v>61</v>
      </c>
      <c r="AB23" s="9"/>
      <c r="AC23" s="29">
        <v>5</v>
      </c>
      <c r="AD23" s="29">
        <v>58</v>
      </c>
      <c r="AE23" s="30">
        <f>TIME(0,AC23,AD23)</f>
        <v>4.1435185185185186E-3</v>
      </c>
      <c r="AF23" s="29">
        <v>96</v>
      </c>
      <c r="AG23" s="29">
        <f>AF$13-AF23</f>
        <v>0</v>
      </c>
      <c r="AH23" s="30">
        <f>AE23+TIME(0,0,AG23)</f>
        <v>4.1435185185185186E-3</v>
      </c>
      <c r="AI23" s="29">
        <f>RANK(AH23,AH$19:AH$31,1)</f>
        <v>7</v>
      </c>
      <c r="AJ23" s="29">
        <f>VLOOKUP(AI23,'Место-баллы'!$A$3:$B$52,2,0)</f>
        <v>73</v>
      </c>
    </row>
    <row r="24" spans="1:36" ht="14.4" x14ac:dyDescent="0.3">
      <c r="A24" s="8"/>
      <c r="B24" s="17">
        <f>RANK(C24,C$19:C$31,0)</f>
        <v>6</v>
      </c>
      <c r="C24" s="17">
        <f>SUMIF($G$12:$AJ$12,1,$G24:$AJ24)</f>
        <v>307</v>
      </c>
      <c r="D24" s="11"/>
      <c r="E24" s="11" t="s">
        <v>75</v>
      </c>
      <c r="F24" s="11"/>
      <c r="G24" s="17">
        <v>80</v>
      </c>
      <c r="H24" s="17">
        <f>RANK(G24,G$19:G$31,0)</f>
        <v>10</v>
      </c>
      <c r="I24" s="17">
        <f>VLOOKUP(H24,'Место-баллы'!$A$3:$B$52,2,0)</f>
        <v>67</v>
      </c>
      <c r="J24" s="9"/>
      <c r="K24" s="29">
        <v>3</v>
      </c>
      <c r="L24" s="29">
        <v>16</v>
      </c>
      <c r="M24" s="30">
        <f>TIME(0,K24,L24)</f>
        <v>2.2685185185185182E-3</v>
      </c>
      <c r="N24" s="29">
        <v>60</v>
      </c>
      <c r="O24" s="29">
        <f>N$13-N24</f>
        <v>0</v>
      </c>
      <c r="P24" s="30">
        <f>M24+TIME(0,0,O24)</f>
        <v>2.2685185185185182E-3</v>
      </c>
      <c r="Q24" s="29">
        <f>RANK(P24,P$19:P$31,1)</f>
        <v>6</v>
      </c>
      <c r="R24" s="29">
        <f>VLOOKUP(Q24,'Место-баллы'!$A$3:$B$52,2,0)</f>
        <v>75</v>
      </c>
      <c r="S24" s="9"/>
      <c r="T24" s="29">
        <v>7</v>
      </c>
      <c r="U24" s="29">
        <v>17</v>
      </c>
      <c r="V24" s="30">
        <f>TIME(0,T24,U24)</f>
        <v>5.0578703703703706E-3</v>
      </c>
      <c r="W24" s="29">
        <v>351</v>
      </c>
      <c r="X24" s="29">
        <f>W$13-W24</f>
        <v>0</v>
      </c>
      <c r="Y24" s="30">
        <f>V24+TIME(0,0,X24)</f>
        <v>5.0578703703703706E-3</v>
      </c>
      <c r="Z24" s="29">
        <f>RANK(Y24,Y$19:Y$31,1)</f>
        <v>6</v>
      </c>
      <c r="AA24" s="29">
        <f>VLOOKUP(Z24,'Место-баллы'!$A$3:$B$52,2,0)</f>
        <v>75</v>
      </c>
      <c r="AB24" s="9"/>
      <c r="AC24" s="29">
        <v>5</v>
      </c>
      <c r="AD24" s="29">
        <v>48</v>
      </c>
      <c r="AE24" s="30">
        <f>TIME(0,AC24,AD24)</f>
        <v>4.0277777777777777E-3</v>
      </c>
      <c r="AF24" s="29">
        <v>96</v>
      </c>
      <c r="AG24" s="29">
        <f>AF$13-AF24</f>
        <v>0</v>
      </c>
      <c r="AH24" s="30">
        <f>AE24+TIME(0,0,AG24)</f>
        <v>4.0277777777777777E-3</v>
      </c>
      <c r="AI24" s="29">
        <f>RANK(AH24,AH$19:AH$31,1)</f>
        <v>3</v>
      </c>
      <c r="AJ24" s="29">
        <f>VLOOKUP(AI24,'Место-баллы'!$A$3:$B$52,2,0)</f>
        <v>90</v>
      </c>
    </row>
    <row r="25" spans="1:36" ht="14.4" x14ac:dyDescent="0.3">
      <c r="A25" s="8"/>
      <c r="B25" s="17">
        <f>RANK(C25,C$19:C$31,0)</f>
        <v>7</v>
      </c>
      <c r="C25" s="17">
        <f>SUMIF($G$12:$AJ$12,1,$G25:$AJ25)</f>
        <v>299</v>
      </c>
      <c r="D25" s="11"/>
      <c r="E25" s="11" t="s">
        <v>83</v>
      </c>
      <c r="F25" s="11"/>
      <c r="G25" s="17">
        <v>87</v>
      </c>
      <c r="H25" s="17">
        <f>RANK(G25,G$19:G$31,0)</f>
        <v>4</v>
      </c>
      <c r="I25" s="17">
        <f>VLOOKUP(H25,'Место-баллы'!$A$3:$B$52,2,0)</f>
        <v>85</v>
      </c>
      <c r="J25" s="9"/>
      <c r="K25" s="29">
        <v>3</v>
      </c>
      <c r="L25" s="29">
        <v>11</v>
      </c>
      <c r="M25" s="30">
        <f>TIME(0,K25,L25)</f>
        <v>2.2106481481481478E-3</v>
      </c>
      <c r="N25" s="29">
        <v>60</v>
      </c>
      <c r="O25" s="29">
        <f>N$13-N25</f>
        <v>0</v>
      </c>
      <c r="P25" s="30">
        <f>M25+TIME(0,0,O25)</f>
        <v>2.2106481481481478E-3</v>
      </c>
      <c r="Q25" s="29">
        <f>RANK(P25,P$19:P$31,1)</f>
        <v>5</v>
      </c>
      <c r="R25" s="29">
        <f>VLOOKUP(Q25,'Место-баллы'!$A$3:$B$52,2,0)</f>
        <v>80</v>
      </c>
      <c r="S25" s="9"/>
      <c r="T25" s="29">
        <v>7</v>
      </c>
      <c r="U25" s="29">
        <v>48</v>
      </c>
      <c r="V25" s="30">
        <f>TIME(0,T25,U25)</f>
        <v>5.4166666666666669E-3</v>
      </c>
      <c r="W25" s="29">
        <v>351</v>
      </c>
      <c r="X25" s="29">
        <f>W$13-W25</f>
        <v>0</v>
      </c>
      <c r="Y25" s="30">
        <f>V25+TIME(0,0,X25)</f>
        <v>5.4166666666666669E-3</v>
      </c>
      <c r="Z25" s="29">
        <f>RANK(Y25,Y$19:Y$31,1)</f>
        <v>9</v>
      </c>
      <c r="AA25" s="29">
        <f>VLOOKUP(Z25,'Место-баллы'!$A$3:$B$52,2,0)</f>
        <v>69</v>
      </c>
      <c r="AB25" s="9"/>
      <c r="AC25" s="29">
        <v>6</v>
      </c>
      <c r="AD25" s="29">
        <v>36</v>
      </c>
      <c r="AE25" s="30">
        <f>TIME(0,AC25,AD25)</f>
        <v>4.5833333333333334E-3</v>
      </c>
      <c r="AF25" s="29">
        <v>96</v>
      </c>
      <c r="AG25" s="29">
        <f>AF$13-AF25</f>
        <v>0</v>
      </c>
      <c r="AH25" s="30">
        <f>AE25+TIME(0,0,AG25)</f>
        <v>4.5833333333333334E-3</v>
      </c>
      <c r="AI25" s="29">
        <f>RANK(AH25,AH$19:AH$31,1)</f>
        <v>11</v>
      </c>
      <c r="AJ25" s="29">
        <f>VLOOKUP(AI25,'Место-баллы'!$A$3:$B$52,2,0)</f>
        <v>65</v>
      </c>
    </row>
    <row r="26" spans="1:36" ht="14.4" x14ac:dyDescent="0.3">
      <c r="A26" s="8"/>
      <c r="B26" s="17">
        <f>RANK(C26,C$19:C$31,0)</f>
        <v>8</v>
      </c>
      <c r="C26" s="17">
        <f>SUMIF($G$12:$AJ$12,1,$G26:$AJ26)</f>
        <v>293</v>
      </c>
      <c r="D26" s="11"/>
      <c r="E26" s="11" t="s">
        <v>81</v>
      </c>
      <c r="F26" s="11"/>
      <c r="G26" s="17">
        <v>85</v>
      </c>
      <c r="H26" s="17">
        <f>RANK(G26,G$19:G$31,0)</f>
        <v>7</v>
      </c>
      <c r="I26" s="17">
        <f>VLOOKUP(H26,'Место-баллы'!$A$3:$B$52,2,0)</f>
        <v>73</v>
      </c>
      <c r="J26" s="9"/>
      <c r="K26" s="29">
        <v>3</v>
      </c>
      <c r="L26" s="29">
        <v>45</v>
      </c>
      <c r="M26" s="30">
        <f>TIME(0,K26,L26)</f>
        <v>2.6041666666666665E-3</v>
      </c>
      <c r="N26" s="29">
        <v>60</v>
      </c>
      <c r="O26" s="29">
        <f>N$13-N26</f>
        <v>0</v>
      </c>
      <c r="P26" s="30">
        <f>M26+TIME(0,0,O26)</f>
        <v>2.6041666666666665E-3</v>
      </c>
      <c r="Q26" s="29">
        <f>RANK(P26,P$19:P$31,1)</f>
        <v>12</v>
      </c>
      <c r="R26" s="29">
        <f>VLOOKUP(Q26,'Место-баллы'!$A$3:$B$52,2,0)</f>
        <v>63</v>
      </c>
      <c r="S26" s="9"/>
      <c r="T26" s="29">
        <v>6</v>
      </c>
      <c r="U26" s="29">
        <v>28</v>
      </c>
      <c r="V26" s="30">
        <f>TIME(0,T26,U26)</f>
        <v>4.4907407407407405E-3</v>
      </c>
      <c r="W26" s="29">
        <v>351</v>
      </c>
      <c r="X26" s="29">
        <f>W$13-W26</f>
        <v>0</v>
      </c>
      <c r="Y26" s="30">
        <f>V26+TIME(0,0,X26)</f>
        <v>4.4907407407407405E-3</v>
      </c>
      <c r="Z26" s="29">
        <f>RANK(Y26,Y$19:Y$31,1)</f>
        <v>3</v>
      </c>
      <c r="AA26" s="29">
        <f>VLOOKUP(Z26,'Место-баллы'!$A$3:$B$52,2,0)</f>
        <v>90</v>
      </c>
      <c r="AB26" s="9"/>
      <c r="AC26" s="29">
        <v>6</v>
      </c>
      <c r="AD26" s="29">
        <v>35</v>
      </c>
      <c r="AE26" s="30">
        <f>TIME(0,AC26,AD26)</f>
        <v>4.5717592592592589E-3</v>
      </c>
      <c r="AF26" s="29">
        <v>96</v>
      </c>
      <c r="AG26" s="29">
        <f>AF$13-AF26</f>
        <v>0</v>
      </c>
      <c r="AH26" s="30">
        <f>AE26+TIME(0,0,AG26)</f>
        <v>4.5717592592592589E-3</v>
      </c>
      <c r="AI26" s="29">
        <f>RANK(AH26,AH$19:AH$31,1)</f>
        <v>10</v>
      </c>
      <c r="AJ26" s="29">
        <f>VLOOKUP(AI26,'Место-баллы'!$A$3:$B$52,2,0)</f>
        <v>67</v>
      </c>
    </row>
    <row r="27" spans="1:36" ht="14.4" x14ac:dyDescent="0.3">
      <c r="A27" s="8"/>
      <c r="B27" s="17">
        <f>RANK(C27,C$19:C$31,0)</f>
        <v>9</v>
      </c>
      <c r="C27" s="17">
        <f>SUMIF($G$12:$AJ$12,1,$G27:$AJ27)</f>
        <v>286</v>
      </c>
      <c r="D27" s="11"/>
      <c r="E27" s="11" t="s">
        <v>79</v>
      </c>
      <c r="F27" s="11"/>
      <c r="G27" s="17">
        <v>87</v>
      </c>
      <c r="H27" s="17">
        <f>RANK(G27,G$19:G$31,0)</f>
        <v>4</v>
      </c>
      <c r="I27" s="17">
        <f>VLOOKUP(H27,'Место-баллы'!$A$3:$B$52,2,0)</f>
        <v>85</v>
      </c>
      <c r="J27" s="9"/>
      <c r="K27" s="29">
        <v>3</v>
      </c>
      <c r="L27" s="29">
        <v>22</v>
      </c>
      <c r="M27" s="30">
        <f>TIME(0,K27,L27)</f>
        <v>2.3379629629629631E-3</v>
      </c>
      <c r="N27" s="29">
        <v>60</v>
      </c>
      <c r="O27" s="29">
        <f>N$13-N27</f>
        <v>0</v>
      </c>
      <c r="P27" s="30">
        <f>M27+TIME(0,0,O27)</f>
        <v>2.3379629629629631E-3</v>
      </c>
      <c r="Q27" s="29">
        <f>RANK(P27,P$19:P$31,1)</f>
        <v>9</v>
      </c>
      <c r="R27" s="29">
        <f>VLOOKUP(Q27,'Место-баллы'!$A$3:$B$52,2,0)</f>
        <v>69</v>
      </c>
      <c r="S27" s="9"/>
      <c r="T27" s="29">
        <v>8</v>
      </c>
      <c r="U27" s="29">
        <v>5</v>
      </c>
      <c r="V27" s="30">
        <f>TIME(0,T27,U27)</f>
        <v>5.6134259259259271E-3</v>
      </c>
      <c r="W27" s="29">
        <f>251+54</f>
        <v>305</v>
      </c>
      <c r="X27" s="29">
        <f>W$13-W27</f>
        <v>46</v>
      </c>
      <c r="Y27" s="30">
        <f>V27+TIME(0,0,X27)</f>
        <v>6.1458333333333347E-3</v>
      </c>
      <c r="Z27" s="29">
        <f>RANK(Y27,Y$19:Y$31,1)</f>
        <v>12</v>
      </c>
      <c r="AA27" s="29">
        <f>VLOOKUP(Z27,'Место-баллы'!$A$3:$B$52,2,0)</f>
        <v>63</v>
      </c>
      <c r="AB27" s="9"/>
      <c r="AC27" s="29">
        <v>6</v>
      </c>
      <c r="AD27" s="29">
        <v>24</v>
      </c>
      <c r="AE27" s="30">
        <f>TIME(0,AC27,AD27)</f>
        <v>4.4444444444444444E-3</v>
      </c>
      <c r="AF27" s="29">
        <v>96</v>
      </c>
      <c r="AG27" s="29">
        <f>AF$13-AF27</f>
        <v>0</v>
      </c>
      <c r="AH27" s="30">
        <f>AE27+TIME(0,0,AG27)</f>
        <v>4.4444444444444444E-3</v>
      </c>
      <c r="AI27" s="29">
        <f>RANK(AH27,AH$19:AH$31,1)</f>
        <v>9</v>
      </c>
      <c r="AJ27" s="29">
        <f>VLOOKUP(AI27,'Место-баллы'!$A$3:$B$52,2,0)</f>
        <v>69</v>
      </c>
    </row>
    <row r="28" spans="1:36" ht="14.4" x14ac:dyDescent="0.3">
      <c r="A28" s="8"/>
      <c r="B28" s="17">
        <v>10</v>
      </c>
      <c r="C28" s="17">
        <f>SUMIF($G$12:$AJ$12,1,$G28:$AJ28)</f>
        <v>286</v>
      </c>
      <c r="D28" s="11"/>
      <c r="E28" s="11" t="s">
        <v>74</v>
      </c>
      <c r="F28" s="11"/>
      <c r="G28" s="17">
        <v>80</v>
      </c>
      <c r="H28" s="17">
        <f>RANK(G28,G$19:G$31,0)</f>
        <v>10</v>
      </c>
      <c r="I28" s="17">
        <f>VLOOKUP(H28,'Место-баллы'!$A$3:$B$52,2,0)</f>
        <v>67</v>
      </c>
      <c r="J28" s="9"/>
      <c r="K28" s="29">
        <v>3</v>
      </c>
      <c r="L28" s="29">
        <v>21</v>
      </c>
      <c r="M28" s="30">
        <f>TIME(0,K28,L28)</f>
        <v>2.3263888888888887E-3</v>
      </c>
      <c r="N28" s="29">
        <v>60</v>
      </c>
      <c r="O28" s="29">
        <f>N$13-N28</f>
        <v>0</v>
      </c>
      <c r="P28" s="30">
        <f>M28+TIME(0,0,O28)</f>
        <v>2.3263888888888887E-3</v>
      </c>
      <c r="Q28" s="29">
        <f>RANK(P28,P$19:P$31,1)</f>
        <v>8</v>
      </c>
      <c r="R28" s="29">
        <f>VLOOKUP(Q28,'Место-баллы'!$A$3:$B$52,2,0)</f>
        <v>71</v>
      </c>
      <c r="S28" s="9"/>
      <c r="T28" s="29">
        <v>6</v>
      </c>
      <c r="U28" s="29">
        <v>34</v>
      </c>
      <c r="V28" s="30">
        <f>TIME(0,T28,U28)</f>
        <v>4.5601851851851853E-3</v>
      </c>
      <c r="W28" s="29">
        <v>351</v>
      </c>
      <c r="X28" s="29">
        <f>W$13-W28</f>
        <v>0</v>
      </c>
      <c r="Y28" s="30">
        <f>V28+TIME(0,0,X28)</f>
        <v>4.5601851851851853E-3</v>
      </c>
      <c r="Z28" s="29">
        <f>RANK(Y28,Y$19:Y$31,1)</f>
        <v>4</v>
      </c>
      <c r="AA28" s="29">
        <f>VLOOKUP(Z28,'Место-баллы'!$A$3:$B$52,2,0)</f>
        <v>85</v>
      </c>
      <c r="AB28" s="9"/>
      <c r="AC28" s="29">
        <v>6</v>
      </c>
      <c r="AD28" s="29">
        <v>43</v>
      </c>
      <c r="AE28" s="30">
        <f>TIME(0,AC28,AD28)</f>
        <v>4.6643518518518518E-3</v>
      </c>
      <c r="AF28" s="29">
        <v>96</v>
      </c>
      <c r="AG28" s="29">
        <f>AF$13-AF28</f>
        <v>0</v>
      </c>
      <c r="AH28" s="30">
        <f>AE28+TIME(0,0,AG28)</f>
        <v>4.6643518518518518E-3</v>
      </c>
      <c r="AI28" s="29">
        <f>RANK(AH28,AH$19:AH$31,1)</f>
        <v>12</v>
      </c>
      <c r="AJ28" s="29">
        <f>VLOOKUP(AI28,'Место-баллы'!$A$3:$B$52,2,0)</f>
        <v>63</v>
      </c>
    </row>
    <row r="29" spans="1:36" ht="14.4" x14ac:dyDescent="0.3">
      <c r="A29" s="8"/>
      <c r="B29" s="17">
        <f>RANK(C29,C$19:C$31,0)</f>
        <v>11</v>
      </c>
      <c r="C29" s="17">
        <f>SUMIF($G$12:$AJ$12,1,$G29:$AJ29)</f>
        <v>283</v>
      </c>
      <c r="D29" s="11"/>
      <c r="E29" s="11" t="s">
        <v>77</v>
      </c>
      <c r="F29" s="11"/>
      <c r="G29" s="17">
        <v>70</v>
      </c>
      <c r="H29" s="17">
        <f>RANK(G29,G$19:G$31,0)</f>
        <v>13</v>
      </c>
      <c r="I29" s="17">
        <f>VLOOKUP(H29,'Место-баллы'!$A$3:$B$52,2,0)</f>
        <v>61</v>
      </c>
      <c r="J29" s="9"/>
      <c r="K29" s="29">
        <v>3</v>
      </c>
      <c r="L29" s="29">
        <v>42</v>
      </c>
      <c r="M29" s="30">
        <f>TIME(0,K29,L29)</f>
        <v>2.5694444444444445E-3</v>
      </c>
      <c r="N29" s="29">
        <v>60</v>
      </c>
      <c r="O29" s="29">
        <f>N$13-N29</f>
        <v>0</v>
      </c>
      <c r="P29" s="30">
        <f>M29+TIME(0,0,O29)</f>
        <v>2.5694444444444445E-3</v>
      </c>
      <c r="Q29" s="29">
        <f>RANK(P29,P$19:P$31,1)</f>
        <v>10</v>
      </c>
      <c r="R29" s="29">
        <f>VLOOKUP(Q29,'Место-баллы'!$A$3:$B$52,2,0)</f>
        <v>67</v>
      </c>
      <c r="S29" s="9"/>
      <c r="T29" s="29">
        <v>6</v>
      </c>
      <c r="U29" s="29">
        <v>54</v>
      </c>
      <c r="V29" s="30">
        <f>TIME(0,T29,U29)</f>
        <v>4.7916666666666672E-3</v>
      </c>
      <c r="W29" s="29">
        <v>351</v>
      </c>
      <c r="X29" s="29">
        <f>W$13-W29</f>
        <v>0</v>
      </c>
      <c r="Y29" s="30">
        <f>V29+TIME(0,0,X29)</f>
        <v>4.7916666666666672E-3</v>
      </c>
      <c r="Z29" s="29">
        <f>RANK(Y29,Y$19:Y$31,1)</f>
        <v>5</v>
      </c>
      <c r="AA29" s="29">
        <f>VLOOKUP(Z29,'Место-баллы'!$A$3:$B$52,2,0)</f>
        <v>80</v>
      </c>
      <c r="AB29" s="9"/>
      <c r="AC29" s="29">
        <v>5</v>
      </c>
      <c r="AD29" s="29">
        <v>52</v>
      </c>
      <c r="AE29" s="30">
        <f>TIME(0,AC29,AD29)</f>
        <v>4.0740740740740746E-3</v>
      </c>
      <c r="AF29" s="29">
        <v>96</v>
      </c>
      <c r="AG29" s="29">
        <f>AF$13-AF29</f>
        <v>0</v>
      </c>
      <c r="AH29" s="30">
        <f>AE29+TIME(0,0,AG29)</f>
        <v>4.0740740740740746E-3</v>
      </c>
      <c r="AI29" s="29">
        <f>RANK(AH29,AH$19:AH$31,1)</f>
        <v>6</v>
      </c>
      <c r="AJ29" s="29">
        <f>VLOOKUP(AI29,'Место-баллы'!$A$3:$B$52,2,0)</f>
        <v>75</v>
      </c>
    </row>
    <row r="30" spans="1:36" ht="14.4" x14ac:dyDescent="0.3">
      <c r="A30" s="8"/>
      <c r="B30" s="17">
        <f>RANK(C30,C$19:C$31,0)</f>
        <v>12</v>
      </c>
      <c r="C30" s="17">
        <f>SUMIF($G$12:$AJ$12,1,$G30:$AJ30)</f>
        <v>282</v>
      </c>
      <c r="D30" s="11"/>
      <c r="E30" s="11" t="s">
        <v>76</v>
      </c>
      <c r="F30" s="11"/>
      <c r="G30" s="17">
        <v>82</v>
      </c>
      <c r="H30" s="17">
        <f>RANK(G30,G$19:G$31,0)</f>
        <v>8</v>
      </c>
      <c r="I30" s="17">
        <f>VLOOKUP(H30,'Место-баллы'!$A$3:$B$52,2,0)</f>
        <v>71</v>
      </c>
      <c r="J30" s="9"/>
      <c r="K30" s="29">
        <v>3</v>
      </c>
      <c r="L30" s="29">
        <v>42</v>
      </c>
      <c r="M30" s="30">
        <f>TIME(0,K30,L30)</f>
        <v>2.5694444444444445E-3</v>
      </c>
      <c r="N30" s="29">
        <v>60</v>
      </c>
      <c r="O30" s="29">
        <f>N$13-N30</f>
        <v>0</v>
      </c>
      <c r="P30" s="30">
        <f>M30+TIME(0,0,O30)</f>
        <v>2.5694444444444445E-3</v>
      </c>
      <c r="Q30" s="29">
        <f>RANK(P30,P$19:P$31,1)</f>
        <v>10</v>
      </c>
      <c r="R30" s="29">
        <f>VLOOKUP(Q30,'Место-баллы'!$A$3:$B$52,2,0)</f>
        <v>67</v>
      </c>
      <c r="S30" s="9"/>
      <c r="T30" s="29">
        <v>7</v>
      </c>
      <c r="U30" s="29">
        <v>34</v>
      </c>
      <c r="V30" s="30">
        <f>TIME(0,T30,U30)</f>
        <v>5.2546296296296299E-3</v>
      </c>
      <c r="W30" s="29">
        <v>351</v>
      </c>
      <c r="X30" s="29">
        <f>W$13-W30</f>
        <v>0</v>
      </c>
      <c r="Y30" s="30">
        <f>V30+TIME(0,0,X30)</f>
        <v>5.2546296296296299E-3</v>
      </c>
      <c r="Z30" s="29">
        <f>RANK(Y30,Y$19:Y$31,1)</f>
        <v>7</v>
      </c>
      <c r="AA30" s="29">
        <f>VLOOKUP(Z30,'Место-баллы'!$A$3:$B$52,2,0)</f>
        <v>73</v>
      </c>
      <c r="AB30" s="9"/>
      <c r="AC30" s="29">
        <v>6</v>
      </c>
      <c r="AD30" s="29">
        <v>11</v>
      </c>
      <c r="AE30" s="30">
        <f>TIME(0,AC30,AD30)</f>
        <v>4.2939814814814811E-3</v>
      </c>
      <c r="AF30" s="29">
        <v>96</v>
      </c>
      <c r="AG30" s="29">
        <f>AF$13-AF30</f>
        <v>0</v>
      </c>
      <c r="AH30" s="30">
        <f>AE30+TIME(0,0,AG30)</f>
        <v>4.2939814814814811E-3</v>
      </c>
      <c r="AI30" s="29">
        <f>RANK(AH30,AH$19:AH$31,1)</f>
        <v>8</v>
      </c>
      <c r="AJ30" s="29">
        <f>VLOOKUP(AI30,'Место-баллы'!$A$3:$B$52,2,0)</f>
        <v>71</v>
      </c>
    </row>
    <row r="31" spans="1:36" ht="14.4" x14ac:dyDescent="0.3">
      <c r="A31" s="8"/>
      <c r="B31" s="17">
        <f>RANK(C31,C$19:C$31,0)</f>
        <v>13</v>
      </c>
      <c r="C31" s="17">
        <f>SUMIF($G$12:$AJ$12,1,$G31:$AJ31)</f>
        <v>256</v>
      </c>
      <c r="D31" s="11"/>
      <c r="E31" s="11" t="s">
        <v>73</v>
      </c>
      <c r="F31" s="11"/>
      <c r="G31" s="17">
        <v>80</v>
      </c>
      <c r="H31" s="17">
        <f>RANK(G31,G$19:G$31,0)</f>
        <v>10</v>
      </c>
      <c r="I31" s="17">
        <f>VLOOKUP(H31,'Место-баллы'!$A$3:$B$52,2,0)</f>
        <v>67</v>
      </c>
      <c r="J31" s="9"/>
      <c r="K31" s="29">
        <v>3</v>
      </c>
      <c r="L31" s="29">
        <v>58</v>
      </c>
      <c r="M31" s="30">
        <f>TIME(0,K31,L31)</f>
        <v>2.7546296296296294E-3</v>
      </c>
      <c r="N31" s="29">
        <v>60</v>
      </c>
      <c r="O31" s="29">
        <f>N$13-N31</f>
        <v>0</v>
      </c>
      <c r="P31" s="30">
        <f>M31+TIME(0,0,O31)</f>
        <v>2.7546296296296294E-3</v>
      </c>
      <c r="Q31" s="29">
        <f>RANK(P31,P$19:P$31,1)</f>
        <v>13</v>
      </c>
      <c r="R31" s="29">
        <f>VLOOKUP(Q31,'Место-баллы'!$A$3:$B$52,2,0)</f>
        <v>61</v>
      </c>
      <c r="S31" s="9"/>
      <c r="T31" s="29">
        <v>7</v>
      </c>
      <c r="U31" s="29">
        <v>55</v>
      </c>
      <c r="V31" s="30">
        <f>TIME(0,T31,U31)</f>
        <v>5.4976851851851853E-3</v>
      </c>
      <c r="W31" s="29">
        <v>351</v>
      </c>
      <c r="X31" s="29">
        <f>W$13-W31</f>
        <v>0</v>
      </c>
      <c r="Y31" s="30">
        <f>V31+TIME(0,0,X31)</f>
        <v>5.4976851851851853E-3</v>
      </c>
      <c r="Z31" s="29">
        <f>RANK(Y31,Y$19:Y$31,1)</f>
        <v>10</v>
      </c>
      <c r="AA31" s="29">
        <f>VLOOKUP(Z31,'Место-баллы'!$A$3:$B$52,2,0)</f>
        <v>67</v>
      </c>
      <c r="AB31" s="9"/>
      <c r="AC31" s="29">
        <v>7</v>
      </c>
      <c r="AD31" s="29">
        <v>7</v>
      </c>
      <c r="AE31" s="30">
        <f>TIME(0,AC31,AD31)</f>
        <v>4.9421296296296288E-3</v>
      </c>
      <c r="AF31" s="29">
        <v>96</v>
      </c>
      <c r="AG31" s="29">
        <f>AF$13-AF31</f>
        <v>0</v>
      </c>
      <c r="AH31" s="30">
        <f>AE31+TIME(0,0,AG31)</f>
        <v>4.9421296296296288E-3</v>
      </c>
      <c r="AI31" s="29">
        <f>RANK(AH31,AH$19:AH$31,1)</f>
        <v>13</v>
      </c>
      <c r="AJ31" s="29">
        <f>VLOOKUP(AI31,'Место-баллы'!$A$3:$B$52,2,0)</f>
        <v>61</v>
      </c>
    </row>
    <row r="32" spans="1:36" ht="15.75" customHeight="1" x14ac:dyDescent="0.3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5.75" customHeight="1" x14ac:dyDescent="0.3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5.75" customHeight="1" outlineLevel="1" x14ac:dyDescent="0.35">
      <c r="A34" s="8"/>
      <c r="B34" s="22" t="s">
        <v>19</v>
      </c>
      <c r="C34" s="22"/>
      <c r="D34" s="22"/>
      <c r="E34" s="22"/>
      <c r="F34" s="22"/>
      <c r="G34" s="22"/>
      <c r="H34" s="22"/>
      <c r="I34" s="2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5.75" customHeight="1" outlineLevel="1" x14ac:dyDescent="0.3">
      <c r="B35" s="23"/>
      <c r="C35" s="23"/>
      <c r="D35" s="23"/>
      <c r="E35" s="2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5.75" customHeight="1" outlineLevel="1" x14ac:dyDescent="0.35">
      <c r="B36" s="22" t="s">
        <v>20</v>
      </c>
      <c r="C36" s="22"/>
      <c r="D36" s="22"/>
      <c r="E36" s="22"/>
      <c r="F36" s="22"/>
      <c r="G36" s="22"/>
      <c r="H36" s="22"/>
      <c r="I36" s="2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5.75" customHeight="1" x14ac:dyDescent="0.3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5.75" customHeight="1" x14ac:dyDescent="0.3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5.75" customHeight="1" x14ac:dyDescent="0.3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5.75" customHeight="1" x14ac:dyDescent="0.3"/>
    <row r="41" spans="1:36" ht="15.75" customHeight="1" x14ac:dyDescent="0.3"/>
    <row r="42" spans="1:36" ht="15.75" customHeight="1" x14ac:dyDescent="0.3"/>
    <row r="43" spans="1:36" ht="15.75" customHeight="1" x14ac:dyDescent="0.3"/>
    <row r="44" spans="1:36" ht="15.75" customHeight="1" x14ac:dyDescent="0.3"/>
    <row r="45" spans="1:36" ht="15.75" customHeight="1" x14ac:dyDescent="0.3"/>
    <row r="46" spans="1:36" ht="15.75" customHeight="1" x14ac:dyDescent="0.3"/>
    <row r="47" spans="1:36" ht="15.75" customHeight="1" x14ac:dyDescent="0.3"/>
    <row r="48" spans="1:36" ht="15.75" customHeight="1" x14ac:dyDescent="0.3"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</sheetData>
  <autoFilter ref="B18:AJ18" xr:uid="{00000000-0009-0000-0000-000002000000}">
    <sortState xmlns:xlrd2="http://schemas.microsoft.com/office/spreadsheetml/2017/richdata2" ref="B19:AJ31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92"/>
  <sheetViews>
    <sheetView topLeftCell="A9" workbookViewId="0">
      <selection activeCell="N31" sqref="N31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30+2+30+2+20+2</f>
        <v>86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37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RANK(C19,C$19:C$28,0)</f>
        <v>1</v>
      </c>
      <c r="C19" s="17">
        <f>SUMIF($G$12:$AJ$12,1,$G19:$AJ19)</f>
        <v>370</v>
      </c>
      <c r="D19" s="11"/>
      <c r="E19" s="11" t="s">
        <v>91</v>
      </c>
      <c r="F19" s="11"/>
      <c r="G19" s="17">
        <v>54</v>
      </c>
      <c r="H19" s="17">
        <f>RANK(G19,G$19:G$28,0)</f>
        <v>1</v>
      </c>
      <c r="I19" s="17">
        <f>VLOOKUP(H19,'Место-баллы'!$A$3:$B$52,2,0)</f>
        <v>100</v>
      </c>
      <c r="J19" s="9"/>
      <c r="K19" s="29">
        <v>3</v>
      </c>
      <c r="L19" s="29">
        <v>17</v>
      </c>
      <c r="M19" s="30">
        <f>TIME(0,K19,L19)</f>
        <v>2.2800925925925927E-3</v>
      </c>
      <c r="N19" s="29">
        <v>60</v>
      </c>
      <c r="O19" s="29">
        <f>N$13-N19</f>
        <v>0</v>
      </c>
      <c r="P19" s="30">
        <f>M19+TIME(0,0,O19)</f>
        <v>2.2800925925925927E-3</v>
      </c>
      <c r="Q19" s="29">
        <f>RANK(P19,P$19:P$28,1)</f>
        <v>1</v>
      </c>
      <c r="R19" s="29">
        <f>VLOOKUP(Q19,'Место-баллы'!$A$3:$B$52,2,0)</f>
        <v>100</v>
      </c>
      <c r="S19" s="9"/>
      <c r="T19" s="29">
        <v>8</v>
      </c>
      <c r="U19" s="29">
        <v>5</v>
      </c>
      <c r="V19" s="30">
        <f>TIME(0,T19,U19)</f>
        <v>5.6134259259259271E-3</v>
      </c>
      <c r="W19" s="29">
        <f>236+14</f>
        <v>250</v>
      </c>
      <c r="X19" s="29">
        <f>W$13-W19</f>
        <v>101</v>
      </c>
      <c r="Y19" s="30">
        <f>V19+TIME(0,0,X19)</f>
        <v>6.7824074074074089E-3</v>
      </c>
      <c r="Z19" s="29">
        <f>RANK(Y19,Y$19:Y$28,1)</f>
        <v>2</v>
      </c>
      <c r="AA19" s="29">
        <f>VLOOKUP(Z19,'Место-баллы'!$A$3:$B$52,2,0)</f>
        <v>95</v>
      </c>
      <c r="AB19" s="9"/>
      <c r="AC19" s="29">
        <v>9</v>
      </c>
      <c r="AD19" s="29">
        <v>5</v>
      </c>
      <c r="AE19" s="30">
        <f>TIME(0,AC19,AD19)</f>
        <v>6.3078703703703708E-3</v>
      </c>
      <c r="AF19" s="29">
        <v>86</v>
      </c>
      <c r="AG19" s="29">
        <f>AF$13-AF19</f>
        <v>0</v>
      </c>
      <c r="AH19" s="30">
        <f>AE19+TIME(0,0,AG19)</f>
        <v>6.3078703703703708E-3</v>
      </c>
      <c r="AI19" s="29">
        <f>RANK(AH19,AH$19:AH$28,1)</f>
        <v>6</v>
      </c>
      <c r="AJ19" s="29">
        <f>VLOOKUP(AI19,'Место-баллы'!$A$3:$B$52,2,0)</f>
        <v>75</v>
      </c>
    </row>
    <row r="20" spans="1:36" ht="14.4" x14ac:dyDescent="0.3">
      <c r="A20" s="8"/>
      <c r="B20" s="17">
        <f>RANK(C20,C$19:C$28,0)</f>
        <v>2</v>
      </c>
      <c r="C20" s="17">
        <f>SUMIF($G$12:$AJ$12,1,$G20:$AJ20)</f>
        <v>351</v>
      </c>
      <c r="D20" s="11"/>
      <c r="E20" s="11" t="s">
        <v>92</v>
      </c>
      <c r="F20" s="11"/>
      <c r="G20" s="17">
        <v>40</v>
      </c>
      <c r="H20" s="17">
        <f>RANK(G20,G$19:G$28,0)</f>
        <v>8</v>
      </c>
      <c r="I20" s="17">
        <f>VLOOKUP(H20,'Место-баллы'!$A$3:$B$52,2,0)</f>
        <v>71</v>
      </c>
      <c r="J20" s="9"/>
      <c r="K20" s="29">
        <v>3</v>
      </c>
      <c r="L20" s="29">
        <v>29</v>
      </c>
      <c r="M20" s="30">
        <f>TIME(0,K20,L20)</f>
        <v>2.4189814814814816E-3</v>
      </c>
      <c r="N20" s="29">
        <v>60</v>
      </c>
      <c r="O20" s="29">
        <f>N$13-N20</f>
        <v>0</v>
      </c>
      <c r="P20" s="30">
        <f>M20+TIME(0,0,O20)</f>
        <v>2.4189814814814816E-3</v>
      </c>
      <c r="Q20" s="29">
        <f>RANK(P20,P$19:P$28,1)</f>
        <v>2</v>
      </c>
      <c r="R20" s="29">
        <f>VLOOKUP(Q20,'Место-баллы'!$A$3:$B$52,2,0)</f>
        <v>95</v>
      </c>
      <c r="S20" s="9"/>
      <c r="T20" s="29">
        <v>8</v>
      </c>
      <c r="U20" s="29">
        <v>5</v>
      </c>
      <c r="V20" s="30">
        <f>TIME(0,T20,U20)</f>
        <v>5.6134259259259271E-3</v>
      </c>
      <c r="W20" s="29">
        <v>251</v>
      </c>
      <c r="X20" s="29">
        <f>W$13-W20</f>
        <v>100</v>
      </c>
      <c r="Y20" s="30">
        <f>V20+TIME(0,0,X20)</f>
        <v>6.7708333333333344E-3</v>
      </c>
      <c r="Z20" s="29">
        <f>RANK(Y20,Y$19:Y$28,1)</f>
        <v>1</v>
      </c>
      <c r="AA20" s="29">
        <f>VLOOKUP(Z20,'Место-баллы'!$A$3:$B$52,2,0)</f>
        <v>100</v>
      </c>
      <c r="AB20" s="9"/>
      <c r="AC20" s="29">
        <v>8</v>
      </c>
      <c r="AD20" s="29">
        <v>45</v>
      </c>
      <c r="AE20" s="30">
        <f>TIME(0,AC20,AD20)</f>
        <v>6.076388888888889E-3</v>
      </c>
      <c r="AF20" s="29">
        <v>86</v>
      </c>
      <c r="AG20" s="29">
        <f>AF$13-AF20</f>
        <v>0</v>
      </c>
      <c r="AH20" s="30">
        <f>AE20+TIME(0,0,AG20)</f>
        <v>6.076388888888889E-3</v>
      </c>
      <c r="AI20" s="29">
        <f>RANK(AH20,AH$19:AH$28,1)</f>
        <v>4</v>
      </c>
      <c r="AJ20" s="29">
        <f>VLOOKUP(AI20,'Место-баллы'!$A$3:$B$52,2,0)</f>
        <v>85</v>
      </c>
    </row>
    <row r="21" spans="1:36" ht="14.4" x14ac:dyDescent="0.3">
      <c r="A21" s="8"/>
      <c r="B21" s="17">
        <f>RANK(C21,C$19:C$28,0)</f>
        <v>3</v>
      </c>
      <c r="C21" s="17">
        <f>SUMIF($G$12:$AJ$12,1,$G21:$AJ21)</f>
        <v>343</v>
      </c>
      <c r="D21" s="11"/>
      <c r="E21" s="11" t="s">
        <v>95</v>
      </c>
      <c r="F21" s="11"/>
      <c r="G21" s="17">
        <v>42</v>
      </c>
      <c r="H21" s="17">
        <f>RANK(G21,G$19:G$28,0)</f>
        <v>7</v>
      </c>
      <c r="I21" s="17">
        <f>VLOOKUP(H21,'Место-баллы'!$A$3:$B$52,2,0)</f>
        <v>73</v>
      </c>
      <c r="J21" s="9"/>
      <c r="K21" s="29">
        <v>3</v>
      </c>
      <c r="L21" s="29">
        <v>34</v>
      </c>
      <c r="M21" s="30">
        <f>TIME(0,K21,L21)</f>
        <v>2.4768518518518516E-3</v>
      </c>
      <c r="N21" s="29">
        <v>60</v>
      </c>
      <c r="O21" s="29">
        <f>N$13-N21</f>
        <v>0</v>
      </c>
      <c r="P21" s="30">
        <f>M21+TIME(0,0,O21)</f>
        <v>2.4768518518518516E-3</v>
      </c>
      <c r="Q21" s="29">
        <f>RANK(P21,P$19:P$28,1)</f>
        <v>3</v>
      </c>
      <c r="R21" s="29">
        <f>VLOOKUP(Q21,'Место-баллы'!$A$3:$B$52,2,0)</f>
        <v>90</v>
      </c>
      <c r="S21" s="9"/>
      <c r="T21" s="29">
        <v>8</v>
      </c>
      <c r="U21" s="29">
        <v>5</v>
      </c>
      <c r="V21" s="30">
        <f>TIME(0,T21,U21)</f>
        <v>5.6134259259259271E-3</v>
      </c>
      <c r="W21" s="29">
        <f>236+8</f>
        <v>244</v>
      </c>
      <c r="X21" s="29">
        <f>W$13-W21</f>
        <v>107</v>
      </c>
      <c r="Y21" s="30">
        <f>V21+TIME(0,0,X21)</f>
        <v>6.8518518518518529E-3</v>
      </c>
      <c r="Z21" s="29">
        <f>RANK(Y21,Y$19:Y$28,1)</f>
        <v>4</v>
      </c>
      <c r="AA21" s="29">
        <f>VLOOKUP(Z21,'Место-баллы'!$A$3:$B$52,2,0)</f>
        <v>85</v>
      </c>
      <c r="AB21" s="9"/>
      <c r="AC21" s="29">
        <v>7</v>
      </c>
      <c r="AD21" s="29">
        <v>55</v>
      </c>
      <c r="AE21" s="30">
        <f>TIME(0,AC21,AD21)</f>
        <v>5.4976851851851853E-3</v>
      </c>
      <c r="AF21" s="29">
        <v>86</v>
      </c>
      <c r="AG21" s="29">
        <f>AF$13-AF21</f>
        <v>0</v>
      </c>
      <c r="AH21" s="30">
        <f>AE21+TIME(0,0,AG21)</f>
        <v>5.4976851851851853E-3</v>
      </c>
      <c r="AI21" s="29">
        <f>RANK(AH21,AH$19:AH$28,1)</f>
        <v>2</v>
      </c>
      <c r="AJ21" s="29">
        <f>VLOOKUP(AI21,'Место-баллы'!$A$3:$B$52,2,0)</f>
        <v>95</v>
      </c>
    </row>
    <row r="22" spans="1:36" ht="14.4" x14ac:dyDescent="0.3">
      <c r="A22" s="8"/>
      <c r="B22" s="17">
        <f>RANK(C22,C$19:C$28,0)</f>
        <v>4</v>
      </c>
      <c r="C22" s="17">
        <f>SUMIF($G$12:$AJ$12,1,$G22:$AJ22)</f>
        <v>338</v>
      </c>
      <c r="D22" s="11"/>
      <c r="E22" s="11" t="s">
        <v>94</v>
      </c>
      <c r="F22" s="11"/>
      <c r="G22" s="17">
        <v>43</v>
      </c>
      <c r="H22" s="17">
        <f>RANK(G22,G$19:G$28,0)</f>
        <v>6</v>
      </c>
      <c r="I22" s="17">
        <f>VLOOKUP(H22,'Место-баллы'!$A$3:$B$52,2,0)</f>
        <v>75</v>
      </c>
      <c r="J22" s="9"/>
      <c r="K22" s="29">
        <v>3</v>
      </c>
      <c r="L22" s="29">
        <v>57</v>
      </c>
      <c r="M22" s="30">
        <f>TIME(0,K22,L22)</f>
        <v>2.7430555555555559E-3</v>
      </c>
      <c r="N22" s="29">
        <v>60</v>
      </c>
      <c r="O22" s="29">
        <f>N$13-N22</f>
        <v>0</v>
      </c>
      <c r="P22" s="30">
        <f>M22+TIME(0,0,O22)</f>
        <v>2.7430555555555559E-3</v>
      </c>
      <c r="Q22" s="29">
        <f>RANK(P22,P$19:P$28,1)</f>
        <v>7</v>
      </c>
      <c r="R22" s="29">
        <f>VLOOKUP(Q22,'Место-баллы'!$A$3:$B$52,2,0)</f>
        <v>73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v>246</v>
      </c>
      <c r="X22" s="29">
        <f>W$13-W22</f>
        <v>105</v>
      </c>
      <c r="Y22" s="30">
        <f>V22+TIME(0,0,X22)</f>
        <v>6.8287037037037049E-3</v>
      </c>
      <c r="Z22" s="29">
        <f>RANK(Y22,Y$19:Y$28,1)</f>
        <v>3</v>
      </c>
      <c r="AA22" s="29">
        <f>VLOOKUP(Z22,'Место-баллы'!$A$3:$B$52,2,0)</f>
        <v>90</v>
      </c>
      <c r="AB22" s="9"/>
      <c r="AC22" s="29">
        <v>7</v>
      </c>
      <c r="AD22" s="29">
        <v>47</v>
      </c>
      <c r="AE22" s="30">
        <f>TIME(0,AC22,AD22)</f>
        <v>5.4050925925925924E-3</v>
      </c>
      <c r="AF22" s="29">
        <v>86</v>
      </c>
      <c r="AG22" s="29">
        <f>AF$13-AF22</f>
        <v>0</v>
      </c>
      <c r="AH22" s="30">
        <f>AE22+TIME(0,0,AG22)</f>
        <v>5.4050925925925924E-3</v>
      </c>
      <c r="AI22" s="29">
        <f>RANK(AH22,AH$19:AH$28,1)</f>
        <v>1</v>
      </c>
      <c r="AJ22" s="29">
        <f>VLOOKUP(AI22,'Место-баллы'!$A$3:$B$52,2,0)</f>
        <v>100</v>
      </c>
    </row>
    <row r="23" spans="1:36" ht="14.4" x14ac:dyDescent="0.3">
      <c r="A23" s="8"/>
      <c r="B23" s="17">
        <f>RANK(C23,C$19:C$28,0)</f>
        <v>5</v>
      </c>
      <c r="C23" s="17">
        <f>SUMIF($G$12:$AJ$12,1,$G23:$AJ23)</f>
        <v>329</v>
      </c>
      <c r="D23" s="11"/>
      <c r="E23" s="11" t="s">
        <v>87</v>
      </c>
      <c r="F23" s="11"/>
      <c r="G23" s="17">
        <v>47</v>
      </c>
      <c r="H23" s="17">
        <f>RANK(G23,G$19:G$28,0)</f>
        <v>4</v>
      </c>
      <c r="I23" s="17">
        <f>VLOOKUP(H23,'Место-баллы'!$A$3:$B$52,2,0)</f>
        <v>85</v>
      </c>
      <c r="J23" s="9"/>
      <c r="K23" s="29">
        <v>4</v>
      </c>
      <c r="L23" s="29">
        <v>5</v>
      </c>
      <c r="M23" s="30">
        <f>TIME(0,K23,L23)</f>
        <v>2.8356481481481479E-3</v>
      </c>
      <c r="N23" s="29">
        <v>60</v>
      </c>
      <c r="O23" s="29">
        <f>N$13-N23</f>
        <v>0</v>
      </c>
      <c r="P23" s="30">
        <f>M23+TIME(0,0,O23)</f>
        <v>2.8356481481481479E-3</v>
      </c>
      <c r="Q23" s="29">
        <f>RANK(P23,P$19:P$28,1)</f>
        <v>9</v>
      </c>
      <c r="R23" s="29">
        <f>VLOOKUP(Q23,'Место-баллы'!$A$3:$B$52,2,0)</f>
        <v>69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f>236+8</f>
        <v>244</v>
      </c>
      <c r="X23" s="29">
        <f>W$13-W23</f>
        <v>107</v>
      </c>
      <c r="Y23" s="30">
        <f>V23+TIME(0,0,X23)</f>
        <v>6.8518518518518529E-3</v>
      </c>
      <c r="Z23" s="29">
        <f>RANK(Y23,Y$19:Y$28,1)</f>
        <v>4</v>
      </c>
      <c r="AA23" s="29">
        <f>VLOOKUP(Z23,'Место-баллы'!$A$3:$B$52,2,0)</f>
        <v>85</v>
      </c>
      <c r="AB23" s="9"/>
      <c r="AC23" s="29">
        <v>8</v>
      </c>
      <c r="AD23" s="29">
        <v>16</v>
      </c>
      <c r="AE23" s="30">
        <f>TIME(0,AC23,AD23)</f>
        <v>5.7407407407407416E-3</v>
      </c>
      <c r="AF23" s="29">
        <v>86</v>
      </c>
      <c r="AG23" s="29">
        <f>AF$13-AF23</f>
        <v>0</v>
      </c>
      <c r="AH23" s="30">
        <f>AE23+TIME(0,0,AG23)</f>
        <v>5.7407407407407416E-3</v>
      </c>
      <c r="AI23" s="29">
        <f>RANK(AH23,AH$19:AH$28,1)</f>
        <v>3</v>
      </c>
      <c r="AJ23" s="29">
        <f>VLOOKUP(AI23,'Место-баллы'!$A$3:$B$52,2,0)</f>
        <v>90</v>
      </c>
    </row>
    <row r="24" spans="1:36" ht="14.4" x14ac:dyDescent="0.3">
      <c r="A24" s="8"/>
      <c r="B24" s="17">
        <v>6</v>
      </c>
      <c r="C24" s="17">
        <f>SUMIF($G$12:$AJ$12,1,$G24:$AJ24)</f>
        <v>329</v>
      </c>
      <c r="D24" s="11"/>
      <c r="E24" s="11" t="s">
        <v>86</v>
      </c>
      <c r="F24" s="11"/>
      <c r="G24" s="17">
        <v>53</v>
      </c>
      <c r="H24" s="17">
        <f>RANK(G24,G$19:G$28,0)</f>
        <v>2</v>
      </c>
      <c r="I24" s="17">
        <f>VLOOKUP(H24,'Место-баллы'!$A$3:$B$52,2,0)</f>
        <v>95</v>
      </c>
      <c r="J24" s="9"/>
      <c r="K24" s="29">
        <v>3</v>
      </c>
      <c r="L24" s="29">
        <v>35</v>
      </c>
      <c r="M24" s="30">
        <f>TIME(0,K24,L24)</f>
        <v>2.488425925925926E-3</v>
      </c>
      <c r="N24" s="29">
        <v>60</v>
      </c>
      <c r="O24" s="29">
        <f>N$13-N24</f>
        <v>0</v>
      </c>
      <c r="P24" s="30">
        <f>M24+TIME(0,0,O24)</f>
        <v>2.488425925925926E-3</v>
      </c>
      <c r="Q24" s="29">
        <f>RANK(P24,P$19:P$28,1)</f>
        <v>4</v>
      </c>
      <c r="R24" s="29">
        <f>VLOOKUP(Q24,'Место-баллы'!$A$3:$B$52,2,0)</f>
        <v>85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v>184</v>
      </c>
      <c r="X24" s="29">
        <f>W$13-W24</f>
        <v>167</v>
      </c>
      <c r="Y24" s="30">
        <f>V24+TIME(0,0,X24)</f>
        <v>7.5462962962962975E-3</v>
      </c>
      <c r="Z24" s="29">
        <f>RANK(Y24,Y$19:Y$28,1)</f>
        <v>9</v>
      </c>
      <c r="AA24" s="29">
        <f>VLOOKUP(Z24,'Место-баллы'!$A$3:$B$52,2,0)</f>
        <v>69</v>
      </c>
      <c r="AB24" s="9"/>
      <c r="AC24" s="29">
        <v>8</v>
      </c>
      <c r="AD24" s="29">
        <v>56</v>
      </c>
      <c r="AE24" s="30">
        <f>TIME(0,AC24,AD24)</f>
        <v>6.2037037037037043E-3</v>
      </c>
      <c r="AF24" s="29">
        <v>86</v>
      </c>
      <c r="AG24" s="29">
        <f>AF$13-AF24</f>
        <v>0</v>
      </c>
      <c r="AH24" s="30">
        <f>AE24+TIME(0,0,AG24)</f>
        <v>6.2037037037037043E-3</v>
      </c>
      <c r="AI24" s="29">
        <f>RANK(AH24,AH$19:AH$28,1)</f>
        <v>5</v>
      </c>
      <c r="AJ24" s="29">
        <f>VLOOKUP(AI24,'Место-баллы'!$A$3:$B$52,2,0)</f>
        <v>80</v>
      </c>
    </row>
    <row r="25" spans="1:36" ht="14.4" x14ac:dyDescent="0.3">
      <c r="A25" s="8"/>
      <c r="B25" s="17">
        <f>RANK(C25,C$19:C$28,0)</f>
        <v>7</v>
      </c>
      <c r="C25" s="17">
        <f>SUMIF($G$12:$AJ$12,1,$G25:$AJ25)</f>
        <v>307</v>
      </c>
      <c r="D25" s="11"/>
      <c r="E25" s="11" t="s">
        <v>90</v>
      </c>
      <c r="F25" s="11"/>
      <c r="G25" s="17">
        <v>48</v>
      </c>
      <c r="H25" s="17">
        <f>RANK(G25,G$19:G$28,0)</f>
        <v>3</v>
      </c>
      <c r="I25" s="17">
        <f>VLOOKUP(H25,'Место-баллы'!$A$3:$B$52,2,0)</f>
        <v>90</v>
      </c>
      <c r="J25" s="9"/>
      <c r="K25" s="29">
        <v>3</v>
      </c>
      <c r="L25" s="29">
        <v>53</v>
      </c>
      <c r="M25" s="30">
        <f>TIME(0,K25,L25)</f>
        <v>2.6967592592592594E-3</v>
      </c>
      <c r="N25" s="29">
        <v>60</v>
      </c>
      <c r="O25" s="29">
        <f>N$13-N25</f>
        <v>0</v>
      </c>
      <c r="P25" s="30">
        <f>M25+TIME(0,0,O25)</f>
        <v>2.6967592592592594E-3</v>
      </c>
      <c r="Q25" s="29">
        <f>RANK(P25,P$19:P$28,1)</f>
        <v>6</v>
      </c>
      <c r="R25" s="29">
        <f>VLOOKUP(Q25,'Место-баллы'!$A$3:$B$52,2,0)</f>
        <v>75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v>234</v>
      </c>
      <c r="X25" s="29">
        <f>W$13-W25</f>
        <v>117</v>
      </c>
      <c r="Y25" s="30">
        <f>V25+TIME(0,0,X25)</f>
        <v>6.9675925925925938E-3</v>
      </c>
      <c r="Z25" s="29">
        <f>RANK(Y25,Y$19:Y$28,1)</f>
        <v>7</v>
      </c>
      <c r="AA25" s="29">
        <f>VLOOKUP(Z25,'Место-баллы'!$A$3:$B$52,2,0)</f>
        <v>73</v>
      </c>
      <c r="AB25" s="9"/>
      <c r="AC25" s="29">
        <v>12</v>
      </c>
      <c r="AD25" s="29">
        <v>5</v>
      </c>
      <c r="AE25" s="30">
        <f>TIME(0,AC25,AD25)</f>
        <v>8.3912037037037045E-3</v>
      </c>
      <c r="AF25" s="29">
        <v>77</v>
      </c>
      <c r="AG25" s="29">
        <f>AF$13-AF25</f>
        <v>9</v>
      </c>
      <c r="AH25" s="30">
        <f>AE25+TIME(0,0,AG25)</f>
        <v>8.4953703703703719E-3</v>
      </c>
      <c r="AI25" s="29">
        <f>RANK(AH25,AH$19:AH$28,1)</f>
        <v>9</v>
      </c>
      <c r="AJ25" s="29">
        <f>VLOOKUP(AI25,'Место-баллы'!$A$3:$B$52,2,0)</f>
        <v>69</v>
      </c>
    </row>
    <row r="26" spans="1:36" ht="14.4" x14ac:dyDescent="0.3">
      <c r="A26" s="8"/>
      <c r="B26" s="17">
        <f>RANK(C26,C$19:C$28,0)</f>
        <v>8</v>
      </c>
      <c r="C26" s="17">
        <f>SUMIF($G$12:$AJ$12,1,$G26:$AJ26)</f>
        <v>306</v>
      </c>
      <c r="D26" s="11"/>
      <c r="E26" s="11" t="s">
        <v>93</v>
      </c>
      <c r="F26" s="11"/>
      <c r="G26" s="17">
        <v>45</v>
      </c>
      <c r="H26" s="17">
        <f>RANK(G26,G$19:G$28,0)</f>
        <v>5</v>
      </c>
      <c r="I26" s="17">
        <f>VLOOKUP(H26,'Место-баллы'!$A$3:$B$52,2,0)</f>
        <v>80</v>
      </c>
      <c r="J26" s="9"/>
      <c r="K26" s="29">
        <v>3</v>
      </c>
      <c r="L26" s="29">
        <v>44</v>
      </c>
      <c r="M26" s="30">
        <f>TIME(0,K26,L26)</f>
        <v>2.5925925925925925E-3</v>
      </c>
      <c r="N26" s="29">
        <v>60</v>
      </c>
      <c r="O26" s="29">
        <f>N$13-N26</f>
        <v>0</v>
      </c>
      <c r="P26" s="30">
        <f>M26+TIME(0,0,O26)</f>
        <v>2.5925925925925925E-3</v>
      </c>
      <c r="Q26" s="29">
        <f>RANK(P26,P$19:P$28,1)</f>
        <v>5</v>
      </c>
      <c r="R26" s="29">
        <f>VLOOKUP(Q26,'Место-баллы'!$A$3:$B$52,2,0)</f>
        <v>80</v>
      </c>
      <c r="S26" s="9"/>
      <c r="T26" s="29">
        <v>8</v>
      </c>
      <c r="U26" s="29">
        <v>5</v>
      </c>
      <c r="V26" s="30">
        <f>TIME(0,T26,U26)</f>
        <v>5.6134259259259271E-3</v>
      </c>
      <c r="W26" s="29">
        <v>234</v>
      </c>
      <c r="X26" s="29">
        <f>W$13-W26</f>
        <v>117</v>
      </c>
      <c r="Y26" s="30">
        <f>V26+TIME(0,0,X26)</f>
        <v>6.9675925925925938E-3</v>
      </c>
      <c r="Z26" s="29">
        <f>RANK(Y26,Y$19:Y$28,1)</f>
        <v>7</v>
      </c>
      <c r="AA26" s="29">
        <f>VLOOKUP(Z26,'Место-баллы'!$A$3:$B$52,2,0)</f>
        <v>73</v>
      </c>
      <c r="AB26" s="9"/>
      <c r="AC26" s="29">
        <v>10</v>
      </c>
      <c r="AD26" s="29">
        <v>10</v>
      </c>
      <c r="AE26" s="30">
        <f>TIME(0,AC26,AD26)</f>
        <v>7.0601851851851841E-3</v>
      </c>
      <c r="AF26" s="29">
        <v>86</v>
      </c>
      <c r="AG26" s="29">
        <f>AF$13-AF26</f>
        <v>0</v>
      </c>
      <c r="AH26" s="30">
        <f>AE26+TIME(0,0,AG26)</f>
        <v>7.0601851851851841E-3</v>
      </c>
      <c r="AI26" s="29">
        <f>RANK(AH26,AH$19:AH$28,1)</f>
        <v>7</v>
      </c>
      <c r="AJ26" s="29">
        <f>VLOOKUP(AI26,'Место-баллы'!$A$3:$B$52,2,0)</f>
        <v>73</v>
      </c>
    </row>
    <row r="27" spans="1:36" ht="14.4" x14ac:dyDescent="0.3">
      <c r="A27" s="8"/>
      <c r="B27" s="17">
        <f>RANK(C27,C$19:C$28,0)</f>
        <v>9</v>
      </c>
      <c r="C27" s="17">
        <f>SUMIF($G$12:$AJ$12,1,$G27:$AJ27)</f>
        <v>288</v>
      </c>
      <c r="D27" s="11"/>
      <c r="E27" s="11" t="s">
        <v>89</v>
      </c>
      <c r="F27" s="11"/>
      <c r="G27" s="17">
        <v>35</v>
      </c>
      <c r="H27" s="17">
        <f>RANK(G27,G$19:G$28,0)</f>
        <v>9</v>
      </c>
      <c r="I27" s="17">
        <f>VLOOKUP(H27,'Место-баллы'!$A$3:$B$52,2,0)</f>
        <v>69</v>
      </c>
      <c r="J27" s="9"/>
      <c r="K27" s="29">
        <v>3</v>
      </c>
      <c r="L27" s="29">
        <v>57</v>
      </c>
      <c r="M27" s="30">
        <f>TIME(0,K27,L27)</f>
        <v>2.7430555555555559E-3</v>
      </c>
      <c r="N27" s="29">
        <v>60</v>
      </c>
      <c r="O27" s="29">
        <f>N$13-N27</f>
        <v>0</v>
      </c>
      <c r="P27" s="30">
        <f>M27+TIME(0,0,O27)</f>
        <v>2.7430555555555559E-3</v>
      </c>
      <c r="Q27" s="29">
        <f>RANK(P27,P$19:P$28,1)</f>
        <v>7</v>
      </c>
      <c r="R27" s="29">
        <f>VLOOKUP(Q27,'Место-баллы'!$A$3:$B$52,2,0)</f>
        <v>73</v>
      </c>
      <c r="S27" s="9"/>
      <c r="T27" s="29">
        <v>8</v>
      </c>
      <c r="U27" s="29">
        <v>5</v>
      </c>
      <c r="V27" s="30">
        <f>TIME(0,T27,U27)</f>
        <v>5.6134259259259271E-3</v>
      </c>
      <c r="W27" s="29">
        <v>235</v>
      </c>
      <c r="X27" s="29">
        <f>W$13-W27</f>
        <v>116</v>
      </c>
      <c r="Y27" s="30">
        <f>V27+TIME(0,0,X27)</f>
        <v>6.9560185185185194E-3</v>
      </c>
      <c r="Z27" s="29">
        <f>RANK(Y27,Y$19:Y$28,1)</f>
        <v>6</v>
      </c>
      <c r="AA27" s="29">
        <f>VLOOKUP(Z27,'Место-баллы'!$A$3:$B$52,2,0)</f>
        <v>75</v>
      </c>
      <c r="AB27" s="9"/>
      <c r="AC27" s="29">
        <v>12</v>
      </c>
      <c r="AD27" s="29">
        <v>5</v>
      </c>
      <c r="AE27" s="30">
        <f>TIME(0,AC27,AD27)</f>
        <v>8.3912037037037045E-3</v>
      </c>
      <c r="AF27" s="29">
        <v>82</v>
      </c>
      <c r="AG27" s="29">
        <f>AF$13-AF27</f>
        <v>4</v>
      </c>
      <c r="AH27" s="30">
        <f>AE27+TIME(0,0,AG27)</f>
        <v>8.4375000000000006E-3</v>
      </c>
      <c r="AI27" s="29">
        <f>RANK(AH27,AH$19:AH$28,1)</f>
        <v>8</v>
      </c>
      <c r="AJ27" s="29">
        <f>VLOOKUP(AI27,'Место-баллы'!$A$3:$B$52,2,0)</f>
        <v>71</v>
      </c>
    </row>
    <row r="28" spans="1:36" ht="14.4" x14ac:dyDescent="0.3">
      <c r="A28" s="8"/>
      <c r="B28" s="17">
        <f>RANK(C28,C$19:C$28,0)</f>
        <v>10</v>
      </c>
      <c r="C28" s="17">
        <f>SUMIF($G$12:$AJ$12,1,$G28:$AJ28)</f>
        <v>270</v>
      </c>
      <c r="D28" s="11"/>
      <c r="E28" s="11" t="s">
        <v>88</v>
      </c>
      <c r="F28" s="11"/>
      <c r="G28" s="17">
        <v>35</v>
      </c>
      <c r="H28" s="17">
        <f>RANK(G28,G$19:G$28,0)</f>
        <v>9</v>
      </c>
      <c r="I28" s="17">
        <f>VLOOKUP(H28,'Место-баллы'!$A$3:$B$52,2,0)</f>
        <v>69</v>
      </c>
      <c r="J28" s="9"/>
      <c r="K28" s="29">
        <v>5</v>
      </c>
      <c r="L28" s="29">
        <v>5</v>
      </c>
      <c r="M28" s="30">
        <f>TIME(0,K28,L28)</f>
        <v>3.530092592592592E-3</v>
      </c>
      <c r="N28" s="29">
        <v>60</v>
      </c>
      <c r="O28" s="29">
        <f>N$13-N28</f>
        <v>0</v>
      </c>
      <c r="P28" s="30">
        <f>M28+TIME(0,0,O28)</f>
        <v>3.530092592592592E-3</v>
      </c>
      <c r="Q28" s="29">
        <f>RANK(P28,P$19:P$28,1)</f>
        <v>10</v>
      </c>
      <c r="R28" s="29">
        <f>VLOOKUP(Q28,'Место-баллы'!$A$3:$B$52,2,0)</f>
        <v>67</v>
      </c>
      <c r="S28" s="9"/>
      <c r="T28" s="29">
        <v>8</v>
      </c>
      <c r="U28" s="29">
        <v>5</v>
      </c>
      <c r="V28" s="30">
        <f>TIME(0,T28,U28)</f>
        <v>5.6134259259259271E-3</v>
      </c>
      <c r="W28" s="29">
        <f>119+5</f>
        <v>124</v>
      </c>
      <c r="X28" s="29">
        <f>W$13-W28</f>
        <v>227</v>
      </c>
      <c r="Y28" s="30">
        <f>V28+TIME(0,0,X28)</f>
        <v>8.2407407407407429E-3</v>
      </c>
      <c r="Z28" s="29">
        <f>RANK(Y28,Y$19:Y$28,1)</f>
        <v>10</v>
      </c>
      <c r="AA28" s="29">
        <f>VLOOKUP(Z28,'Место-баллы'!$A$3:$B$52,2,0)</f>
        <v>67</v>
      </c>
      <c r="AB28" s="9"/>
      <c r="AC28" s="29">
        <v>12</v>
      </c>
      <c r="AD28" s="29">
        <v>5</v>
      </c>
      <c r="AE28" s="30">
        <f>TIME(0,AC28,AD28)</f>
        <v>8.3912037037037045E-3</v>
      </c>
      <c r="AF28" s="29">
        <v>76</v>
      </c>
      <c r="AG28" s="29">
        <f>AF$13-AF28</f>
        <v>10</v>
      </c>
      <c r="AH28" s="30">
        <f>AE28+TIME(0,0,AG28)</f>
        <v>8.5069444444444454E-3</v>
      </c>
      <c r="AI28" s="29">
        <f>RANK(AH28,AH$19:AH$28,1)</f>
        <v>10</v>
      </c>
      <c r="AJ28" s="29">
        <f>VLOOKUP(AI28,'Место-баллы'!$A$3:$B$52,2,0)</f>
        <v>67</v>
      </c>
    </row>
    <row r="29" spans="1:36" ht="15.75" customHeight="1" x14ac:dyDescent="0.3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x14ac:dyDescent="0.3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outlineLevel="1" x14ac:dyDescent="0.35">
      <c r="A31" s="8"/>
      <c r="B31" s="22" t="s">
        <v>19</v>
      </c>
      <c r="C31" s="22"/>
      <c r="D31" s="22"/>
      <c r="E31" s="22"/>
      <c r="F31" s="22"/>
      <c r="G31" s="22"/>
      <c r="H31" s="22"/>
      <c r="I31" s="2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outlineLevel="1" x14ac:dyDescent="0.3">
      <c r="B32" s="23"/>
      <c r="C32" s="23"/>
      <c r="D32" s="23"/>
      <c r="E32" s="2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5.75" customHeight="1" outlineLevel="1" x14ac:dyDescent="0.35">
      <c r="B33" s="22" t="s">
        <v>20</v>
      </c>
      <c r="C33" s="22"/>
      <c r="D33" s="22"/>
      <c r="E33" s="22"/>
      <c r="F33" s="22"/>
      <c r="G33" s="22"/>
      <c r="H33" s="22"/>
      <c r="I33" s="2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5.75" customHeight="1" x14ac:dyDescent="0.3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5.75" customHeight="1" x14ac:dyDescent="0.3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5.75" customHeight="1" x14ac:dyDescent="0.3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5.75" customHeight="1" x14ac:dyDescent="0.3"/>
    <row r="38" spans="2:36" ht="15.75" customHeight="1" x14ac:dyDescent="0.3"/>
    <row r="39" spans="2:36" ht="15.75" customHeight="1" x14ac:dyDescent="0.3"/>
    <row r="40" spans="2:36" ht="15.75" customHeight="1" x14ac:dyDescent="0.3"/>
    <row r="41" spans="2:36" ht="15.75" customHeight="1" x14ac:dyDescent="0.3"/>
    <row r="42" spans="2:36" ht="15.75" customHeight="1" x14ac:dyDescent="0.3"/>
    <row r="43" spans="2:36" ht="15.75" customHeight="1" x14ac:dyDescent="0.3"/>
    <row r="44" spans="2:36" ht="15.75" customHeight="1" x14ac:dyDescent="0.3"/>
    <row r="45" spans="2:36" ht="15.75" customHeight="1" x14ac:dyDescent="0.3"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2:36" ht="15.75" customHeight="1" x14ac:dyDescent="0.3"/>
    <row r="47" spans="2:36" ht="15.75" customHeight="1" x14ac:dyDescent="0.3"/>
    <row r="48" spans="2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</sheetData>
  <autoFilter ref="B18:AJ18" xr:uid="{00000000-0009-0000-0000-000003000000}">
    <sortState xmlns:xlrd2="http://schemas.microsoft.com/office/spreadsheetml/2017/richdata2" ref="B19:AJ28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3"/>
  <sheetViews>
    <sheetView topLeftCell="A5" workbookViewId="0">
      <selection activeCell="B10" sqref="B10:AJ29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30+2+30+2+30+2</f>
        <v>96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36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RANK(C19,C$19:C$29,0)</f>
        <v>1</v>
      </c>
      <c r="C19" s="17">
        <f>SUMIF($G$12:$AJ$12,1,$G19:$AJ19)</f>
        <v>368</v>
      </c>
      <c r="D19" s="11"/>
      <c r="E19" s="11" t="s">
        <v>101</v>
      </c>
      <c r="F19" s="11"/>
      <c r="G19" s="17">
        <v>92</v>
      </c>
      <c r="H19" s="17">
        <f>RANK(G19,G$19:G$29,0)</f>
        <v>1</v>
      </c>
      <c r="I19" s="17">
        <f>VLOOKUP(H19,'Место-баллы'!$A$3:$B$52,2,0)</f>
        <v>100</v>
      </c>
      <c r="J19" s="9"/>
      <c r="K19" s="29">
        <v>3</v>
      </c>
      <c r="L19" s="29">
        <v>7</v>
      </c>
      <c r="M19" s="30">
        <f>TIME(0,K19,L19)</f>
        <v>2.1643518518518518E-3</v>
      </c>
      <c r="N19" s="29">
        <v>60</v>
      </c>
      <c r="O19" s="29">
        <f>N$13-N19</f>
        <v>0</v>
      </c>
      <c r="P19" s="30">
        <f>M19+TIME(0,0,O19)</f>
        <v>2.1643518518518518E-3</v>
      </c>
      <c r="Q19" s="29">
        <f>RANK(P19,P$19:P$29,1)</f>
        <v>1</v>
      </c>
      <c r="R19" s="29">
        <f>VLOOKUP(Q19,'Место-баллы'!$A$3:$B$52,2,0)</f>
        <v>100</v>
      </c>
      <c r="S19" s="9"/>
      <c r="T19" s="29">
        <v>8</v>
      </c>
      <c r="U19" s="29">
        <v>5</v>
      </c>
      <c r="V19" s="30">
        <f>TIME(0,T19,U19)</f>
        <v>5.6134259259259271E-3</v>
      </c>
      <c r="W19" s="29">
        <f>236+14</f>
        <v>250</v>
      </c>
      <c r="X19" s="29">
        <f>W$13-W19</f>
        <v>101</v>
      </c>
      <c r="Y19" s="30">
        <f>V19+TIME(0,0,X19)</f>
        <v>6.7824074074074089E-3</v>
      </c>
      <c r="Z19" s="29">
        <f>RANK(Y19,Y$19:Y$29,1)</f>
        <v>7</v>
      </c>
      <c r="AA19" s="29">
        <f>VLOOKUP(Z19,'Место-баллы'!$A$3:$B$52,2,0)</f>
        <v>73</v>
      </c>
      <c r="AB19" s="9"/>
      <c r="AC19" s="29">
        <v>6</v>
      </c>
      <c r="AD19" s="29">
        <v>19</v>
      </c>
      <c r="AE19" s="30">
        <f>TIME(0,AC19,AD19)</f>
        <v>4.386574074074074E-3</v>
      </c>
      <c r="AF19" s="29">
        <v>96</v>
      </c>
      <c r="AG19" s="29">
        <f>AF$13-AF19</f>
        <v>0</v>
      </c>
      <c r="AH19" s="30">
        <f>AE19+TIME(0,0,AG19)</f>
        <v>4.386574074074074E-3</v>
      </c>
      <c r="AI19" s="29">
        <f>RANK(AH19,AH$19:AH$29,1)</f>
        <v>2</v>
      </c>
      <c r="AJ19" s="29">
        <f>VLOOKUP(AI19,'Место-баллы'!$A$3:$B$52,2,0)</f>
        <v>95</v>
      </c>
    </row>
    <row r="20" spans="1:36" ht="14.4" x14ac:dyDescent="0.3">
      <c r="A20" s="8"/>
      <c r="B20" s="17">
        <f>RANK(C20,C$19:C$29,0)</f>
        <v>2</v>
      </c>
      <c r="C20" s="17">
        <f>SUMIF($G$12:$AJ$12,1,$G20:$AJ20)</f>
        <v>364</v>
      </c>
      <c r="D20" s="11"/>
      <c r="E20" s="11" t="s">
        <v>96</v>
      </c>
      <c r="F20" s="11"/>
      <c r="G20" s="17">
        <v>75</v>
      </c>
      <c r="H20" s="17">
        <f>RANK(G20,G$19:G$29,0)</f>
        <v>9</v>
      </c>
      <c r="I20" s="17">
        <f>VLOOKUP(H20,'Место-баллы'!$A$3:$B$52,2,0)</f>
        <v>69</v>
      </c>
      <c r="J20" s="9"/>
      <c r="K20" s="29">
        <v>3</v>
      </c>
      <c r="L20" s="29">
        <v>18</v>
      </c>
      <c r="M20" s="30">
        <f>TIME(0,K20,L20)</f>
        <v>2.2916666666666667E-3</v>
      </c>
      <c r="N20" s="29">
        <v>60</v>
      </c>
      <c r="O20" s="29">
        <f>N$13-N20</f>
        <v>0</v>
      </c>
      <c r="P20" s="30">
        <f>M20+TIME(0,0,O20)</f>
        <v>2.2916666666666667E-3</v>
      </c>
      <c r="Q20" s="29">
        <f>RANK(P20,P$19:P$29,1)</f>
        <v>2</v>
      </c>
      <c r="R20" s="29">
        <f>VLOOKUP(Q20,'Место-баллы'!$A$3:$B$52,2,0)</f>
        <v>95</v>
      </c>
      <c r="S20" s="9"/>
      <c r="T20" s="29">
        <v>7</v>
      </c>
      <c r="U20" s="29">
        <v>57</v>
      </c>
      <c r="V20" s="30">
        <f>TIME(0,T20,U20)</f>
        <v>5.5208333333333333E-3</v>
      </c>
      <c r="W20" s="29">
        <v>351</v>
      </c>
      <c r="X20" s="29">
        <f>W$13-W20</f>
        <v>0</v>
      </c>
      <c r="Y20" s="30">
        <f>V20+TIME(0,0,X20)</f>
        <v>5.5208333333333333E-3</v>
      </c>
      <c r="Z20" s="29">
        <f>RANK(Y20,Y$19:Y$29,1)</f>
        <v>1</v>
      </c>
      <c r="AA20" s="29">
        <f>VLOOKUP(Z20,'Место-баллы'!$A$3:$B$52,2,0)</f>
        <v>100</v>
      </c>
      <c r="AB20" s="9"/>
      <c r="AC20" s="29">
        <v>5</v>
      </c>
      <c r="AD20" s="29">
        <v>39</v>
      </c>
      <c r="AE20" s="30">
        <f>TIME(0,AC20,AD20)</f>
        <v>3.9236111111111112E-3</v>
      </c>
      <c r="AF20" s="29">
        <v>96</v>
      </c>
      <c r="AG20" s="29">
        <f>AF$13-AF20</f>
        <v>0</v>
      </c>
      <c r="AH20" s="30">
        <f>AE20+TIME(0,0,AG20)</f>
        <v>3.9236111111111112E-3</v>
      </c>
      <c r="AI20" s="29">
        <f>RANK(AH20,AH$19:AH$29,1)</f>
        <v>1</v>
      </c>
      <c r="AJ20" s="29">
        <f>VLOOKUP(AI20,'Место-баллы'!$A$3:$B$52,2,0)</f>
        <v>100</v>
      </c>
    </row>
    <row r="21" spans="1:36" ht="14.4" x14ac:dyDescent="0.3">
      <c r="A21" s="8"/>
      <c r="B21" s="17">
        <f>RANK(C21,C$19:C$29,0)</f>
        <v>3</v>
      </c>
      <c r="C21" s="17">
        <f>SUMIF($G$12:$AJ$12,1,$G21:$AJ21)</f>
        <v>355</v>
      </c>
      <c r="D21" s="11"/>
      <c r="E21" s="11" t="s">
        <v>103</v>
      </c>
      <c r="F21" s="11"/>
      <c r="G21" s="17">
        <v>87</v>
      </c>
      <c r="H21" s="17">
        <f>RANK(G21,G$19:G$29,0)</f>
        <v>3</v>
      </c>
      <c r="I21" s="17">
        <f>VLOOKUP(H21,'Место-баллы'!$A$3:$B$52,2,0)</f>
        <v>90</v>
      </c>
      <c r="J21" s="9"/>
      <c r="K21" s="29">
        <v>3</v>
      </c>
      <c r="L21" s="29">
        <v>25</v>
      </c>
      <c r="M21" s="30">
        <f>TIME(0,K21,L21)</f>
        <v>2.3726851851851851E-3</v>
      </c>
      <c r="N21" s="29">
        <v>60</v>
      </c>
      <c r="O21" s="29">
        <f>N$13-N21</f>
        <v>0</v>
      </c>
      <c r="P21" s="30">
        <f>M21+TIME(0,0,O21)</f>
        <v>2.3726851851851851E-3</v>
      </c>
      <c r="Q21" s="29">
        <f>RANK(P21,P$19:P$29,1)</f>
        <v>3</v>
      </c>
      <c r="R21" s="29">
        <f>VLOOKUP(Q21,'Место-баллы'!$A$3:$B$52,2,0)</f>
        <v>90</v>
      </c>
      <c r="S21" s="9"/>
      <c r="T21" s="29">
        <v>8</v>
      </c>
      <c r="U21" s="29">
        <v>5</v>
      </c>
      <c r="V21" s="30">
        <f>TIME(0,T21,U21)</f>
        <v>5.6134259259259271E-3</v>
      </c>
      <c r="W21" s="29">
        <f>251+52</f>
        <v>303</v>
      </c>
      <c r="X21" s="29">
        <f>W$13-W21</f>
        <v>48</v>
      </c>
      <c r="Y21" s="30">
        <f>V21+TIME(0,0,X21)</f>
        <v>6.1689814814814828E-3</v>
      </c>
      <c r="Z21" s="29">
        <f>RANK(Y21,Y$19:Y$29,1)</f>
        <v>3</v>
      </c>
      <c r="AA21" s="29">
        <f>VLOOKUP(Z21,'Место-баллы'!$A$3:$B$52,2,0)</f>
        <v>90</v>
      </c>
      <c r="AB21" s="9"/>
      <c r="AC21" s="29">
        <v>6</v>
      </c>
      <c r="AD21" s="29">
        <v>43</v>
      </c>
      <c r="AE21" s="30">
        <f>TIME(0,AC21,AD21)</f>
        <v>4.6643518518518518E-3</v>
      </c>
      <c r="AF21" s="29">
        <v>96</v>
      </c>
      <c r="AG21" s="29">
        <f>AF$13-AF21</f>
        <v>0</v>
      </c>
      <c r="AH21" s="30">
        <f>AE21+TIME(0,0,AG21)</f>
        <v>4.6643518518518518E-3</v>
      </c>
      <c r="AI21" s="29">
        <f>RANK(AH21,AH$19:AH$29,1)</f>
        <v>4</v>
      </c>
      <c r="AJ21" s="29">
        <f>VLOOKUP(AI21,'Место-баллы'!$A$3:$B$52,2,0)</f>
        <v>85</v>
      </c>
    </row>
    <row r="22" spans="1:36" ht="14.4" x14ac:dyDescent="0.3">
      <c r="A22" s="8"/>
      <c r="B22" s="17">
        <f>RANK(C22,C$19:C$29,0)</f>
        <v>4</v>
      </c>
      <c r="C22" s="17">
        <f>SUMIF($G$12:$AJ$12,1,$G22:$AJ22)</f>
        <v>335</v>
      </c>
      <c r="D22" s="11"/>
      <c r="E22" s="11" t="s">
        <v>98</v>
      </c>
      <c r="F22" s="11"/>
      <c r="G22" s="17">
        <v>80</v>
      </c>
      <c r="H22" s="17">
        <f>RANK(G22,G$19:G$29,0)</f>
        <v>5</v>
      </c>
      <c r="I22" s="17">
        <f>VLOOKUP(H22,'Место-баллы'!$A$3:$B$52,2,0)</f>
        <v>80</v>
      </c>
      <c r="J22" s="9"/>
      <c r="K22" s="29">
        <v>3</v>
      </c>
      <c r="L22" s="29">
        <v>33</v>
      </c>
      <c r="M22" s="30">
        <f>TIME(0,K22,L22)</f>
        <v>2.4652777777777776E-3</v>
      </c>
      <c r="N22" s="29">
        <v>60</v>
      </c>
      <c r="O22" s="29">
        <f>N$13-N22</f>
        <v>0</v>
      </c>
      <c r="P22" s="30">
        <f>M22+TIME(0,0,O22)</f>
        <v>2.4652777777777776E-3</v>
      </c>
      <c r="Q22" s="29">
        <f>RANK(P22,P$19:P$29,1)</f>
        <v>4</v>
      </c>
      <c r="R22" s="29">
        <f>VLOOKUP(Q22,'Место-баллы'!$A$3:$B$52,2,0)</f>
        <v>85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f>251+57</f>
        <v>308</v>
      </c>
      <c r="X22" s="29">
        <f>W$13-W22</f>
        <v>43</v>
      </c>
      <c r="Y22" s="30">
        <f>V22+TIME(0,0,X22)</f>
        <v>6.1111111111111123E-3</v>
      </c>
      <c r="Z22" s="29">
        <f>RANK(Y22,Y$19:Y$29,1)</f>
        <v>2</v>
      </c>
      <c r="AA22" s="29">
        <f>VLOOKUP(Z22,'Место-баллы'!$A$3:$B$52,2,0)</f>
        <v>95</v>
      </c>
      <c r="AB22" s="9"/>
      <c r="AC22" s="29">
        <v>7</v>
      </c>
      <c r="AD22" s="29">
        <v>1</v>
      </c>
      <c r="AE22" s="30">
        <f>TIME(0,AC22,AD22)</f>
        <v>4.8726851851851856E-3</v>
      </c>
      <c r="AF22" s="29">
        <v>96</v>
      </c>
      <c r="AG22" s="29">
        <f>AF$13-AF22</f>
        <v>0</v>
      </c>
      <c r="AH22" s="30">
        <f>AE22+TIME(0,0,AG22)</f>
        <v>4.8726851851851856E-3</v>
      </c>
      <c r="AI22" s="29">
        <f>RANK(AH22,AH$19:AH$29,1)</f>
        <v>6</v>
      </c>
      <c r="AJ22" s="29">
        <f>VLOOKUP(AI22,'Место-баллы'!$A$3:$B$52,2,0)</f>
        <v>75</v>
      </c>
    </row>
    <row r="23" spans="1:36" ht="14.4" x14ac:dyDescent="0.3">
      <c r="A23" s="8"/>
      <c r="B23" s="17">
        <f>RANK(C23,C$19:C$29,0)</f>
        <v>5</v>
      </c>
      <c r="C23" s="17">
        <f>SUMIF($G$12:$AJ$12,1,$G23:$AJ23)</f>
        <v>317</v>
      </c>
      <c r="D23" s="11"/>
      <c r="E23" s="35" t="s">
        <v>100</v>
      </c>
      <c r="F23" s="11"/>
      <c r="G23" s="17">
        <v>90</v>
      </c>
      <c r="H23" s="17">
        <f>RANK(G23,G$19:G$29,0)</f>
        <v>2</v>
      </c>
      <c r="I23" s="17">
        <f>VLOOKUP(H23,'Место-баллы'!$A$3:$B$52,2,0)</f>
        <v>95</v>
      </c>
      <c r="J23" s="9"/>
      <c r="K23" s="29">
        <v>4</v>
      </c>
      <c r="L23" s="29">
        <v>1</v>
      </c>
      <c r="M23" s="30">
        <f>TIME(0,K23,L23)</f>
        <v>2.7893518518518519E-3</v>
      </c>
      <c r="N23" s="29">
        <v>60</v>
      </c>
      <c r="O23" s="29">
        <f>N$13-N23</f>
        <v>0</v>
      </c>
      <c r="P23" s="30">
        <f>M23+TIME(0,0,O23)</f>
        <v>2.7893518518518519E-3</v>
      </c>
      <c r="Q23" s="29">
        <f>RANK(P23,P$19:P$29,1)</f>
        <v>9</v>
      </c>
      <c r="R23" s="29">
        <f>VLOOKUP(Q23,'Место-баллы'!$A$3:$B$52,2,0)</f>
        <v>69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271</v>
      </c>
      <c r="X23" s="29">
        <f>W$13-W23</f>
        <v>80</v>
      </c>
      <c r="Y23" s="30">
        <f>V23+TIME(0,0,X23)</f>
        <v>6.5393518518518526E-3</v>
      </c>
      <c r="Z23" s="29">
        <f>RANK(Y23,Y$19:Y$29,1)</f>
        <v>5</v>
      </c>
      <c r="AA23" s="29">
        <f>VLOOKUP(Z23,'Место-баллы'!$A$3:$B$52,2,0)</f>
        <v>80</v>
      </c>
      <c r="AB23" s="9"/>
      <c r="AC23" s="29">
        <v>7</v>
      </c>
      <c r="AD23" s="29">
        <v>16</v>
      </c>
      <c r="AE23" s="30">
        <f>TIME(0,AC23,AD23)</f>
        <v>5.0462962962962961E-3</v>
      </c>
      <c r="AF23" s="29">
        <v>96</v>
      </c>
      <c r="AG23" s="29">
        <f>AF$13-AF23</f>
        <v>0</v>
      </c>
      <c r="AH23" s="30">
        <f>AE23+TIME(0,0,AG23)</f>
        <v>5.0462962962962961E-3</v>
      </c>
      <c r="AI23" s="29">
        <f>RANK(AH23,AH$19:AH$29,1)</f>
        <v>7</v>
      </c>
      <c r="AJ23" s="29">
        <f>VLOOKUP(AI23,'Место-баллы'!$A$3:$B$52,2,0)</f>
        <v>73</v>
      </c>
    </row>
    <row r="24" spans="1:36" ht="14.4" x14ac:dyDescent="0.3">
      <c r="A24" s="8"/>
      <c r="B24" s="17">
        <f>RANK(C24,C$19:C$29,0)</f>
        <v>6</v>
      </c>
      <c r="C24" s="17">
        <f>SUMIF($G$12:$AJ$12,1,$G24:$AJ24)</f>
        <v>315</v>
      </c>
      <c r="D24" s="11"/>
      <c r="E24" s="11" t="s">
        <v>97</v>
      </c>
      <c r="F24" s="11"/>
      <c r="G24" s="17">
        <v>80</v>
      </c>
      <c r="H24" s="17">
        <f>RANK(G24,G$19:G$29,0)</f>
        <v>5</v>
      </c>
      <c r="I24" s="17">
        <f>VLOOKUP(H24,'Место-баллы'!$A$3:$B$52,2,0)</f>
        <v>80</v>
      </c>
      <c r="J24" s="9"/>
      <c r="K24" s="29">
        <v>3</v>
      </c>
      <c r="L24" s="29">
        <v>34</v>
      </c>
      <c r="M24" s="30">
        <f>TIME(0,K24,L24)</f>
        <v>2.4768518518518516E-3</v>
      </c>
      <c r="N24" s="29">
        <v>60</v>
      </c>
      <c r="O24" s="29">
        <f>N$13-N24</f>
        <v>0</v>
      </c>
      <c r="P24" s="30">
        <f>M24+TIME(0,0,O24)</f>
        <v>2.4768518518518516E-3</v>
      </c>
      <c r="Q24" s="29">
        <f>RANK(P24,P$19:P$29,1)</f>
        <v>5</v>
      </c>
      <c r="R24" s="29">
        <f>VLOOKUP(Q24,'Место-баллы'!$A$3:$B$52,2,0)</f>
        <v>80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f>134+63</f>
        <v>197</v>
      </c>
      <c r="X24" s="29">
        <f>W$13-W24</f>
        <v>154</v>
      </c>
      <c r="Y24" s="30">
        <f>V24+TIME(0,0,X24)</f>
        <v>7.395833333333335E-3</v>
      </c>
      <c r="Z24" s="29">
        <f>RANK(Y24,Y$19:Y$29,1)</f>
        <v>11</v>
      </c>
      <c r="AA24" s="29">
        <f>VLOOKUP(Z24,'Место-баллы'!$A$3:$B$52,2,0)</f>
        <v>65</v>
      </c>
      <c r="AB24" s="9"/>
      <c r="AC24" s="29">
        <v>6</v>
      </c>
      <c r="AD24" s="29">
        <v>40</v>
      </c>
      <c r="AE24" s="30">
        <f>TIME(0,AC24,AD24)</f>
        <v>4.6296296296296302E-3</v>
      </c>
      <c r="AF24" s="29">
        <v>96</v>
      </c>
      <c r="AG24" s="29">
        <f>AF$13-AF24</f>
        <v>0</v>
      </c>
      <c r="AH24" s="30">
        <f>AE24+TIME(0,0,AG24)</f>
        <v>4.6296296296296302E-3</v>
      </c>
      <c r="AI24" s="29">
        <f>RANK(AH24,AH$19:AH$29,1)</f>
        <v>3</v>
      </c>
      <c r="AJ24" s="29">
        <f>VLOOKUP(AI24,'Место-баллы'!$A$3:$B$52,2,0)</f>
        <v>90</v>
      </c>
    </row>
    <row r="25" spans="1:36" ht="14.4" x14ac:dyDescent="0.3">
      <c r="A25" s="8"/>
      <c r="B25" s="17">
        <f>RANK(C25,C$19:C$29,0)</f>
        <v>7</v>
      </c>
      <c r="C25" s="17">
        <f>SUMIF($G$12:$AJ$12,1,$G25:$AJ25)</f>
        <v>310</v>
      </c>
      <c r="D25" s="11"/>
      <c r="E25" s="11" t="s">
        <v>106</v>
      </c>
      <c r="F25" s="11"/>
      <c r="G25" s="17">
        <v>65</v>
      </c>
      <c r="H25" s="17">
        <f>RANK(G25,G$19:G$29,0)</f>
        <v>11</v>
      </c>
      <c r="I25" s="17">
        <f>VLOOKUP(H25,'Место-баллы'!$A$3:$B$52,2,0)</f>
        <v>65</v>
      </c>
      <c r="J25" s="9"/>
      <c r="K25" s="29">
        <v>3</v>
      </c>
      <c r="L25" s="29">
        <v>55</v>
      </c>
      <c r="M25" s="30">
        <f>TIME(0,K25,L25)</f>
        <v>2.7199074074074074E-3</v>
      </c>
      <c r="N25" s="29">
        <v>60</v>
      </c>
      <c r="O25" s="29">
        <f>N$13-N25</f>
        <v>0</v>
      </c>
      <c r="P25" s="30">
        <f>M25+TIME(0,0,O25)</f>
        <v>2.7199074074074074E-3</v>
      </c>
      <c r="Q25" s="29">
        <f>RANK(P25,P$19:P$29,1)</f>
        <v>6</v>
      </c>
      <c r="R25" s="29">
        <f>VLOOKUP(Q25,'Место-баллы'!$A$3:$B$52,2,0)</f>
        <v>75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v>303</v>
      </c>
      <c r="X25" s="29">
        <f>W$13-W25</f>
        <v>48</v>
      </c>
      <c r="Y25" s="30">
        <f>V25+TIME(0,0,X25)</f>
        <v>6.1689814814814828E-3</v>
      </c>
      <c r="Z25" s="29">
        <f>RANK(Y25,Y$19:Y$29,1)</f>
        <v>3</v>
      </c>
      <c r="AA25" s="29">
        <f>VLOOKUP(Z25,'Место-баллы'!$A$3:$B$52,2,0)</f>
        <v>90</v>
      </c>
      <c r="AB25" s="9"/>
      <c r="AC25" s="29">
        <v>6</v>
      </c>
      <c r="AD25" s="29">
        <v>57</v>
      </c>
      <c r="AE25" s="30">
        <f>TIME(0,AC25,AD25)</f>
        <v>4.8263888888888887E-3</v>
      </c>
      <c r="AF25" s="29">
        <v>96</v>
      </c>
      <c r="AG25" s="29">
        <f>AF$13-AF25</f>
        <v>0</v>
      </c>
      <c r="AH25" s="30">
        <f>AE25+TIME(0,0,AG25)</f>
        <v>4.8263888888888887E-3</v>
      </c>
      <c r="AI25" s="29">
        <f>RANK(AH25,AH$19:AH$29,1)</f>
        <v>5</v>
      </c>
      <c r="AJ25" s="29">
        <f>VLOOKUP(AI25,'Место-баллы'!$A$3:$B$52,2,0)</f>
        <v>80</v>
      </c>
    </row>
    <row r="26" spans="1:36" ht="14.4" x14ac:dyDescent="0.3">
      <c r="A26" s="8"/>
      <c r="B26" s="17">
        <f>RANK(C26,C$19:C$29,0)</f>
        <v>8</v>
      </c>
      <c r="C26" s="17">
        <f>SUMIF($G$12:$AJ$12,1,$G26:$AJ26)</f>
        <v>286</v>
      </c>
      <c r="D26" s="11"/>
      <c r="E26" s="11" t="s">
        <v>105</v>
      </c>
      <c r="F26" s="11"/>
      <c r="G26" s="17">
        <v>86</v>
      </c>
      <c r="H26" s="17">
        <f>RANK(G26,G$19:G$29,0)</f>
        <v>4</v>
      </c>
      <c r="I26" s="17">
        <f>VLOOKUP(H26,'Место-баллы'!$A$3:$B$52,2,0)</f>
        <v>85</v>
      </c>
      <c r="J26" s="9"/>
      <c r="K26" s="29">
        <v>4</v>
      </c>
      <c r="L26" s="29">
        <v>12</v>
      </c>
      <c r="M26" s="30">
        <f>TIME(0,K26,L26)</f>
        <v>2.9166666666666668E-3</v>
      </c>
      <c r="N26" s="29">
        <v>60</v>
      </c>
      <c r="O26" s="29">
        <f>N$13-N26</f>
        <v>0</v>
      </c>
      <c r="P26" s="30">
        <f>M26+TIME(0,0,O26)</f>
        <v>2.9166666666666668E-3</v>
      </c>
      <c r="Q26" s="29">
        <f>RANK(P26,P$19:P$29,1)</f>
        <v>11</v>
      </c>
      <c r="R26" s="29">
        <f>VLOOKUP(Q26,'Место-баллы'!$A$3:$B$52,2,0)</f>
        <v>65</v>
      </c>
      <c r="S26" s="9"/>
      <c r="T26" s="29">
        <v>8</v>
      </c>
      <c r="U26" s="29">
        <v>5</v>
      </c>
      <c r="V26" s="30">
        <f>TIME(0,T26,U26)</f>
        <v>5.6134259259259271E-3</v>
      </c>
      <c r="W26" s="29">
        <v>246</v>
      </c>
      <c r="X26" s="29">
        <f>W$13-W26</f>
        <v>105</v>
      </c>
      <c r="Y26" s="30">
        <f>V26+TIME(0,0,X26)</f>
        <v>6.8287037037037049E-3</v>
      </c>
      <c r="Z26" s="29">
        <f>RANK(Y26,Y$19:Y$29,1)</f>
        <v>10</v>
      </c>
      <c r="AA26" s="29">
        <f>VLOOKUP(Z26,'Место-баллы'!$A$3:$B$52,2,0)</f>
        <v>67</v>
      </c>
      <c r="AB26" s="9"/>
      <c r="AC26" s="29">
        <v>8</v>
      </c>
      <c r="AD26" s="29">
        <v>30</v>
      </c>
      <c r="AE26" s="30">
        <f>TIME(0,AC26,AD26)</f>
        <v>5.9027777777777776E-3</v>
      </c>
      <c r="AF26" s="29">
        <v>96</v>
      </c>
      <c r="AG26" s="29">
        <f>AF$13-AF26</f>
        <v>0</v>
      </c>
      <c r="AH26" s="30">
        <f>AE26+TIME(0,0,AG26)</f>
        <v>5.9027777777777776E-3</v>
      </c>
      <c r="AI26" s="29">
        <f>RANK(AH26,AH$19:AH$29,1)</f>
        <v>9</v>
      </c>
      <c r="AJ26" s="29">
        <f>VLOOKUP(AI26,'Место-баллы'!$A$3:$B$52,2,0)</f>
        <v>69</v>
      </c>
    </row>
    <row r="27" spans="1:36" ht="14.4" x14ac:dyDescent="0.3">
      <c r="A27" s="8"/>
      <c r="B27" s="17">
        <f>RANK(C27,C$19:C$29,0)</f>
        <v>9</v>
      </c>
      <c r="C27" s="17">
        <f>SUMIF($G$12:$AJ$12,1,$G27:$AJ27)</f>
        <v>282</v>
      </c>
      <c r="D27" s="11"/>
      <c r="E27" s="35" t="s">
        <v>99</v>
      </c>
      <c r="F27" s="11"/>
      <c r="G27" s="17">
        <v>76</v>
      </c>
      <c r="H27" s="17">
        <f>RANK(G27,G$19:G$29,0)</f>
        <v>8</v>
      </c>
      <c r="I27" s="17">
        <f>VLOOKUP(H27,'Место-баллы'!$A$3:$B$52,2,0)</f>
        <v>71</v>
      </c>
      <c r="J27" s="9"/>
      <c r="K27" s="29">
        <v>4</v>
      </c>
      <c r="L27" s="29">
        <v>0</v>
      </c>
      <c r="M27" s="30">
        <f>TIME(0,K27,L27)</f>
        <v>2.7777777777777779E-3</v>
      </c>
      <c r="N27" s="29">
        <v>60</v>
      </c>
      <c r="O27" s="29">
        <f>N$13-N27</f>
        <v>0</v>
      </c>
      <c r="P27" s="30">
        <f>M27+TIME(0,0,O27)</f>
        <v>2.7777777777777779E-3</v>
      </c>
      <c r="Q27" s="29">
        <f>RANK(P27,P$19:P$29,1)</f>
        <v>7</v>
      </c>
      <c r="R27" s="29">
        <f>VLOOKUP(Q27,'Место-баллы'!$A$3:$B$52,2,0)</f>
        <v>73</v>
      </c>
      <c r="S27" s="9"/>
      <c r="T27" s="29">
        <v>8</v>
      </c>
      <c r="U27" s="29">
        <v>5</v>
      </c>
      <c r="V27" s="30">
        <f>TIME(0,T27,U27)</f>
        <v>5.6134259259259271E-3</v>
      </c>
      <c r="W27" s="29">
        <f>236+12</f>
        <v>248</v>
      </c>
      <c r="X27" s="29">
        <f>W$13-W27</f>
        <v>103</v>
      </c>
      <c r="Y27" s="30">
        <f>V27+TIME(0,0,X27)</f>
        <v>6.8055555555555569E-3</v>
      </c>
      <c r="Z27" s="29">
        <f>RANK(Y27,Y$19:Y$29,1)</f>
        <v>8</v>
      </c>
      <c r="AA27" s="29">
        <f>VLOOKUP(Z27,'Место-баллы'!$A$3:$B$52,2,0)</f>
        <v>71</v>
      </c>
      <c r="AB27" s="9"/>
      <c r="AC27" s="29">
        <v>8</v>
      </c>
      <c r="AD27" s="29">
        <v>33</v>
      </c>
      <c r="AE27" s="30">
        <f>TIME(0,AC27,AD27)</f>
        <v>5.9375000000000009E-3</v>
      </c>
      <c r="AF27" s="29">
        <v>96</v>
      </c>
      <c r="AG27" s="29">
        <f>AF$13-AF27</f>
        <v>0</v>
      </c>
      <c r="AH27" s="30">
        <f>AE27+TIME(0,0,AG27)</f>
        <v>5.9375000000000009E-3</v>
      </c>
      <c r="AI27" s="29">
        <f>RANK(AH27,AH$19:AH$29,1)</f>
        <v>10</v>
      </c>
      <c r="AJ27" s="29">
        <f>VLOOKUP(AI27,'Место-баллы'!$A$3:$B$52,2,0)</f>
        <v>67</v>
      </c>
    </row>
    <row r="28" spans="1:36" ht="14.4" x14ac:dyDescent="0.3">
      <c r="A28" s="8"/>
      <c r="B28" s="17">
        <f>RANK(C28,C$19:C$29,0)</f>
        <v>10</v>
      </c>
      <c r="C28" s="17">
        <f>SUMIF($G$12:$AJ$12,1,$G28:$AJ28)</f>
        <v>280</v>
      </c>
      <c r="D28" s="11"/>
      <c r="E28" s="35" t="s">
        <v>104</v>
      </c>
      <c r="F28" s="11"/>
      <c r="G28" s="17">
        <v>66</v>
      </c>
      <c r="H28" s="17">
        <f>RANK(G28,G$19:G$29,0)</f>
        <v>10</v>
      </c>
      <c r="I28" s="17">
        <f>VLOOKUP(H28,'Место-баллы'!$A$3:$B$52,2,0)</f>
        <v>67</v>
      </c>
      <c r="J28" s="9"/>
      <c r="K28" s="29">
        <v>4</v>
      </c>
      <c r="L28" s="29">
        <v>7</v>
      </c>
      <c r="M28" s="30">
        <f>TIME(0,K28,L28)</f>
        <v>2.8587962962962963E-3</v>
      </c>
      <c r="N28" s="29">
        <v>60</v>
      </c>
      <c r="O28" s="29">
        <f>N$13-N28</f>
        <v>0</v>
      </c>
      <c r="P28" s="30">
        <f>M28+TIME(0,0,O28)</f>
        <v>2.8587962962962963E-3</v>
      </c>
      <c r="Q28" s="29">
        <f>RANK(P28,P$19:P$29,1)</f>
        <v>10</v>
      </c>
      <c r="R28" s="29">
        <f>VLOOKUP(Q28,'Место-баллы'!$A$3:$B$52,2,0)</f>
        <v>67</v>
      </c>
      <c r="S28" s="9"/>
      <c r="T28" s="29">
        <v>8</v>
      </c>
      <c r="U28" s="29">
        <v>5</v>
      </c>
      <c r="V28" s="30">
        <f>TIME(0,T28,U28)</f>
        <v>5.6134259259259271E-3</v>
      </c>
      <c r="W28" s="29">
        <v>252</v>
      </c>
      <c r="X28" s="29">
        <f>W$13-W28</f>
        <v>99</v>
      </c>
      <c r="Y28" s="30">
        <f>V28+TIME(0,0,X28)</f>
        <v>6.75925925925926E-3</v>
      </c>
      <c r="Z28" s="29">
        <f>RANK(Y28,Y$19:Y$29,1)</f>
        <v>6</v>
      </c>
      <c r="AA28" s="29">
        <f>VLOOKUP(Z28,'Место-баллы'!$A$3:$B$52,2,0)</f>
        <v>75</v>
      </c>
      <c r="AB28" s="9"/>
      <c r="AC28" s="29">
        <v>7</v>
      </c>
      <c r="AD28" s="29">
        <v>37</v>
      </c>
      <c r="AE28" s="30">
        <f>TIME(0,AC28,AD28)</f>
        <v>5.2893518518518515E-3</v>
      </c>
      <c r="AF28" s="29">
        <v>96</v>
      </c>
      <c r="AG28" s="29">
        <f>AF$13-AF28</f>
        <v>0</v>
      </c>
      <c r="AH28" s="30">
        <f>AE28+TIME(0,0,AG28)</f>
        <v>5.2893518518518515E-3</v>
      </c>
      <c r="AI28" s="29">
        <f>RANK(AH28,AH$19:AH$29,1)</f>
        <v>8</v>
      </c>
      <c r="AJ28" s="29">
        <f>VLOOKUP(AI28,'Место-баллы'!$A$3:$B$52,2,0)</f>
        <v>71</v>
      </c>
    </row>
    <row r="29" spans="1:36" ht="14.4" x14ac:dyDescent="0.3">
      <c r="A29" s="8"/>
      <c r="B29" s="17">
        <f>RANK(C29,C$19:C$29,0)</f>
        <v>11</v>
      </c>
      <c r="C29" s="17">
        <f>SUMIF($G$12:$AJ$12,1,$G29:$AJ29)</f>
        <v>224</v>
      </c>
      <c r="D29" s="11"/>
      <c r="E29" s="35" t="s">
        <v>102</v>
      </c>
      <c r="F29" s="11"/>
      <c r="G29" s="17">
        <v>80</v>
      </c>
      <c r="H29" s="17">
        <f>RANK(G29,G$19:G$29,0)</f>
        <v>5</v>
      </c>
      <c r="I29" s="17">
        <f>VLOOKUP(H29,'Место-баллы'!$A$3:$B$52,2,0)</f>
        <v>80</v>
      </c>
      <c r="J29" s="9"/>
      <c r="K29" s="29">
        <v>4</v>
      </c>
      <c r="L29" s="29">
        <v>0</v>
      </c>
      <c r="M29" s="30">
        <f>TIME(0,K29,L29)</f>
        <v>2.7777777777777779E-3</v>
      </c>
      <c r="N29" s="29">
        <v>60</v>
      </c>
      <c r="O29" s="29">
        <f>N$13-N29</f>
        <v>0</v>
      </c>
      <c r="P29" s="30">
        <f>M29+TIME(0,0,O29)</f>
        <v>2.7777777777777779E-3</v>
      </c>
      <c r="Q29" s="29">
        <f>RANK(P29,P$19:P$29,1)</f>
        <v>7</v>
      </c>
      <c r="R29" s="29">
        <f>VLOOKUP(Q29,'Место-баллы'!$A$3:$B$52,2,0)</f>
        <v>73</v>
      </c>
      <c r="S29" s="9"/>
      <c r="T29" s="29">
        <v>8</v>
      </c>
      <c r="U29" s="29">
        <v>5</v>
      </c>
      <c r="V29" s="30">
        <f>TIME(0,T29,U29)</f>
        <v>5.6134259259259271E-3</v>
      </c>
      <c r="W29" s="29">
        <f>236+12</f>
        <v>248</v>
      </c>
      <c r="X29" s="29">
        <f>W$13-W29</f>
        <v>103</v>
      </c>
      <c r="Y29" s="30">
        <f>V29+TIME(0,0,X29)</f>
        <v>6.8055555555555569E-3</v>
      </c>
      <c r="Z29" s="29">
        <f>RANK(Y29,Y$19:Y$29,1)</f>
        <v>8</v>
      </c>
      <c r="AA29" s="29">
        <f>VLOOKUP(Z29,'Место-баллы'!$A$3:$B$52,2,0)</f>
        <v>71</v>
      </c>
      <c r="AB29" s="9"/>
      <c r="AC29" s="29"/>
      <c r="AD29" s="29"/>
      <c r="AE29" s="30"/>
      <c r="AF29" s="29"/>
      <c r="AG29" s="29"/>
      <c r="AH29" s="30"/>
      <c r="AI29" s="29"/>
      <c r="AJ29" s="29" t="s">
        <v>140</v>
      </c>
    </row>
    <row r="30" spans="1:36" ht="15.75" customHeight="1" x14ac:dyDescent="0.3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x14ac:dyDescent="0.3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outlineLevel="1" x14ac:dyDescent="0.35">
      <c r="A32" s="8"/>
      <c r="B32" s="22" t="s">
        <v>19</v>
      </c>
      <c r="C32" s="22"/>
      <c r="D32" s="22"/>
      <c r="E32" s="22"/>
      <c r="F32" s="22"/>
      <c r="G32" s="22"/>
      <c r="H32" s="22"/>
      <c r="I32" s="2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15.75" customHeight="1" outlineLevel="1" x14ac:dyDescent="0.3">
      <c r="B33" s="23"/>
      <c r="C33" s="23"/>
      <c r="D33" s="23"/>
      <c r="E33" s="2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15.75" customHeight="1" outlineLevel="1" x14ac:dyDescent="0.35">
      <c r="B34" s="22" t="s">
        <v>20</v>
      </c>
      <c r="C34" s="22"/>
      <c r="D34" s="22"/>
      <c r="E34" s="22"/>
      <c r="F34" s="22"/>
      <c r="G34" s="22"/>
      <c r="H34" s="22"/>
      <c r="I34" s="2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15.75" customHeight="1" x14ac:dyDescent="0.3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15.75" customHeight="1" x14ac:dyDescent="0.3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15.75" customHeight="1" x14ac:dyDescent="0.3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15.75" customHeight="1" x14ac:dyDescent="0.3"/>
    <row r="39" spans="2:36" ht="15.75" customHeight="1" x14ac:dyDescent="0.3"/>
    <row r="40" spans="2:36" ht="15.75" customHeight="1" x14ac:dyDescent="0.3"/>
    <row r="41" spans="2:36" ht="15.75" customHeight="1" x14ac:dyDescent="0.3"/>
    <row r="42" spans="2:36" ht="15.75" customHeight="1" x14ac:dyDescent="0.3"/>
    <row r="43" spans="2:36" ht="15.75" customHeight="1" x14ac:dyDescent="0.3"/>
    <row r="44" spans="2:36" ht="15.75" customHeight="1" x14ac:dyDescent="0.3"/>
    <row r="45" spans="2:36" ht="15.75" customHeight="1" x14ac:dyDescent="0.3"/>
    <row r="46" spans="2:36" ht="15.75" customHeight="1" x14ac:dyDescent="0.3"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2:36" ht="15.75" customHeight="1" x14ac:dyDescent="0.3"/>
    <row r="48" spans="2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</sheetData>
  <autoFilter ref="B18:AJ18" xr:uid="{00000000-0009-0000-0000-000004000000}">
    <sortState xmlns:xlrd2="http://schemas.microsoft.com/office/spreadsheetml/2017/richdata2" ref="B19:AJ29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89"/>
  <sheetViews>
    <sheetView topLeftCell="A8" workbookViewId="0">
      <selection activeCell="B10" sqref="B10:AJ25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30+2+30+2+20+2</f>
        <v>86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40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RANK(C19,C$19:C$25,0)</f>
        <v>1</v>
      </c>
      <c r="C19" s="17">
        <f>SUMIF($G$12:$AJ$12,1,$G19:$AJ19)</f>
        <v>390</v>
      </c>
      <c r="D19" s="11"/>
      <c r="E19" s="11" t="s">
        <v>109</v>
      </c>
      <c r="F19" s="11"/>
      <c r="G19" s="17">
        <v>50</v>
      </c>
      <c r="H19" s="17">
        <f>RANK(G19,G$19:G$25,0)</f>
        <v>1</v>
      </c>
      <c r="I19" s="17">
        <f>VLOOKUP(H19,'Место-баллы'!$A$3:$B$52,2,0)</f>
        <v>100</v>
      </c>
      <c r="J19" s="9"/>
      <c r="K19" s="29">
        <v>3</v>
      </c>
      <c r="L19" s="29">
        <v>2</v>
      </c>
      <c r="M19" s="30">
        <f>TIME(0,K19,L19)</f>
        <v>2.1064814814814813E-3</v>
      </c>
      <c r="N19" s="29">
        <v>60</v>
      </c>
      <c r="O19" s="29">
        <f>N$13-N19</f>
        <v>0</v>
      </c>
      <c r="P19" s="30">
        <f>M19+TIME(0,0,O19)</f>
        <v>2.1064814814814813E-3</v>
      </c>
      <c r="Q19" s="29">
        <f>RANK(P19,P$19:P$25,1)</f>
        <v>1</v>
      </c>
      <c r="R19" s="29">
        <f>VLOOKUP(Q19,'Место-баллы'!$A$3:$B$52,2,0)</f>
        <v>100</v>
      </c>
      <c r="S19" s="9"/>
      <c r="T19" s="29">
        <v>8</v>
      </c>
      <c r="U19" s="29">
        <v>5</v>
      </c>
      <c r="V19" s="30">
        <f>TIME(0,T19,U19)</f>
        <v>5.6134259259259271E-3</v>
      </c>
      <c r="W19" s="29">
        <f>236+12</f>
        <v>248</v>
      </c>
      <c r="X19" s="29">
        <f>W$13-W19</f>
        <v>103</v>
      </c>
      <c r="Y19" s="30">
        <f>V19+TIME(0,0,X19)</f>
        <v>6.8055555555555569E-3</v>
      </c>
      <c r="Z19" s="29">
        <f>RANK(Y19,Y$19:Y$25,1)</f>
        <v>1</v>
      </c>
      <c r="AA19" s="29">
        <f>VLOOKUP(Z19,'Место-баллы'!$A$3:$B$52,2,0)</f>
        <v>100</v>
      </c>
      <c r="AB19" s="9"/>
      <c r="AC19" s="29">
        <v>8</v>
      </c>
      <c r="AD19" s="29">
        <v>43</v>
      </c>
      <c r="AE19" s="30">
        <f>TIME(0,AC19,AD19)</f>
        <v>6.053240740740741E-3</v>
      </c>
      <c r="AF19" s="29">
        <v>86</v>
      </c>
      <c r="AG19" s="29">
        <f>AF$13-AF19</f>
        <v>0</v>
      </c>
      <c r="AH19" s="30">
        <f>AE19+TIME(0,0,AG19)</f>
        <v>6.053240740740741E-3</v>
      </c>
      <c r="AI19" s="29">
        <f>RANK(AH19,AH$19:AH$25,1)</f>
        <v>3</v>
      </c>
      <c r="AJ19" s="29">
        <f>VLOOKUP(AI19,'Место-баллы'!$A$3:$B$52,2,0)</f>
        <v>90</v>
      </c>
    </row>
    <row r="20" spans="1:36" ht="14.4" x14ac:dyDescent="0.3">
      <c r="A20" s="8"/>
      <c r="B20" s="17">
        <f>RANK(C20,C$19:C$25,0)</f>
        <v>2</v>
      </c>
      <c r="C20" s="17">
        <f>SUMIF($G$12:$AJ$12,1,$G20:$AJ20)</f>
        <v>370</v>
      </c>
      <c r="D20" s="11"/>
      <c r="E20" s="11" t="s">
        <v>108</v>
      </c>
      <c r="F20" s="11"/>
      <c r="G20" s="17">
        <v>47</v>
      </c>
      <c r="H20" s="17">
        <f>RANK(G20,G$19:G$25,0)</f>
        <v>2</v>
      </c>
      <c r="I20" s="17">
        <f>VLOOKUP(H20,'Место-баллы'!$A$3:$B$52,2,0)</f>
        <v>95</v>
      </c>
      <c r="J20" s="9"/>
      <c r="K20" s="29">
        <v>3</v>
      </c>
      <c r="L20" s="29">
        <v>4</v>
      </c>
      <c r="M20" s="30">
        <f>TIME(0,K20,L20)</f>
        <v>2.1296296296296298E-3</v>
      </c>
      <c r="N20" s="29">
        <v>60</v>
      </c>
      <c r="O20" s="29">
        <f>N$13-N20</f>
        <v>0</v>
      </c>
      <c r="P20" s="30">
        <f>M20+TIME(0,0,O20)</f>
        <v>2.1296296296296298E-3</v>
      </c>
      <c r="Q20" s="29">
        <f>RANK(P20,P$19:P$25,1)</f>
        <v>2</v>
      </c>
      <c r="R20" s="29">
        <f>VLOOKUP(Q20,'Место-баллы'!$A$3:$B$52,2,0)</f>
        <v>95</v>
      </c>
      <c r="S20" s="9"/>
      <c r="T20" s="29">
        <v>8</v>
      </c>
      <c r="U20" s="29">
        <v>5</v>
      </c>
      <c r="V20" s="30">
        <f>TIME(0,T20,U20)</f>
        <v>5.6134259259259271E-3</v>
      </c>
      <c r="W20" s="29">
        <v>240</v>
      </c>
      <c r="X20" s="29">
        <f>W$13-W20</f>
        <v>111</v>
      </c>
      <c r="Y20" s="30">
        <f>V20+TIME(0,0,X20)</f>
        <v>6.8981481481481498E-3</v>
      </c>
      <c r="Z20" s="29">
        <f>RANK(Y20,Y$19:Y$25,1)</f>
        <v>2</v>
      </c>
      <c r="AA20" s="29">
        <f>VLOOKUP(Z20,'Место-баллы'!$A$3:$B$52,2,0)</f>
        <v>95</v>
      </c>
      <c r="AB20" s="9"/>
      <c r="AC20" s="29">
        <v>12</v>
      </c>
      <c r="AD20" s="29">
        <v>5</v>
      </c>
      <c r="AE20" s="30">
        <f>TIME(0,AC20,AD20)</f>
        <v>8.3912037037037045E-3</v>
      </c>
      <c r="AF20" s="29">
        <v>81</v>
      </c>
      <c r="AG20" s="29">
        <f>AF$13-AF20</f>
        <v>5</v>
      </c>
      <c r="AH20" s="30">
        <f>AE20+TIME(0,0,AG20)</f>
        <v>8.4490740740740741E-3</v>
      </c>
      <c r="AI20" s="29">
        <f>RANK(AH20,AH$19:AH$25,1)</f>
        <v>4</v>
      </c>
      <c r="AJ20" s="29">
        <f>VLOOKUP(AI20,'Место-баллы'!$A$3:$B$52,2,0)</f>
        <v>85</v>
      </c>
    </row>
    <row r="21" spans="1:36" ht="14.4" x14ac:dyDescent="0.3">
      <c r="A21" s="8"/>
      <c r="B21" s="17">
        <f>RANK(C21,C$19:C$25,0)</f>
        <v>3</v>
      </c>
      <c r="C21" s="17">
        <f>SUMIF($G$12:$AJ$12,1,$G21:$AJ21)</f>
        <v>360</v>
      </c>
      <c r="D21" s="11"/>
      <c r="E21" s="11" t="s">
        <v>112</v>
      </c>
      <c r="F21" s="11"/>
      <c r="G21" s="17">
        <v>47</v>
      </c>
      <c r="H21" s="17">
        <f>RANK(G21,G$19:G$25,0)</f>
        <v>2</v>
      </c>
      <c r="I21" s="17">
        <f>VLOOKUP(H21,'Место-баллы'!$A$3:$B$52,2,0)</f>
        <v>95</v>
      </c>
      <c r="J21" s="9"/>
      <c r="K21" s="29">
        <v>3</v>
      </c>
      <c r="L21" s="29">
        <v>32</v>
      </c>
      <c r="M21" s="30">
        <f>TIME(0,K21,L21)</f>
        <v>2.4537037037037036E-3</v>
      </c>
      <c r="N21" s="29">
        <v>60</v>
      </c>
      <c r="O21" s="29">
        <f>N$13-N21</f>
        <v>0</v>
      </c>
      <c r="P21" s="30">
        <f>M21+TIME(0,0,O21)</f>
        <v>2.4537037037037036E-3</v>
      </c>
      <c r="Q21" s="29">
        <f>RANK(P21,P$19:P$25,1)</f>
        <v>5</v>
      </c>
      <c r="R21" s="29">
        <f>VLOOKUP(Q21,'Место-баллы'!$A$3:$B$52,2,0)</f>
        <v>80</v>
      </c>
      <c r="S21" s="9"/>
      <c r="T21" s="29">
        <v>8</v>
      </c>
      <c r="U21" s="29">
        <v>5</v>
      </c>
      <c r="V21" s="30">
        <f>TIME(0,T21,U21)</f>
        <v>5.6134259259259271E-3</v>
      </c>
      <c r="W21" s="29">
        <f>134+52</f>
        <v>186</v>
      </c>
      <c r="X21" s="29">
        <f>W$13-W21</f>
        <v>165</v>
      </c>
      <c r="Y21" s="30">
        <f>V21+TIME(0,0,X21)</f>
        <v>7.5231481481481495E-3</v>
      </c>
      <c r="Z21" s="29">
        <f>RANK(Y21,Y$19:Y$25,1)</f>
        <v>4</v>
      </c>
      <c r="AA21" s="29">
        <f>VLOOKUP(Z21,'Место-баллы'!$A$3:$B$52,2,0)</f>
        <v>85</v>
      </c>
      <c r="AB21" s="9"/>
      <c r="AC21" s="29">
        <v>8</v>
      </c>
      <c r="AD21" s="29">
        <v>15</v>
      </c>
      <c r="AE21" s="30">
        <f>TIME(0,AC21,AD21)</f>
        <v>5.7291666666666671E-3</v>
      </c>
      <c r="AF21" s="29">
        <v>86</v>
      </c>
      <c r="AG21" s="29">
        <f>AF$13-AF21</f>
        <v>0</v>
      </c>
      <c r="AH21" s="30">
        <f>AE21+TIME(0,0,AG21)</f>
        <v>5.7291666666666671E-3</v>
      </c>
      <c r="AI21" s="29">
        <f>RANK(AH21,AH$19:AH$25,1)</f>
        <v>1</v>
      </c>
      <c r="AJ21" s="29">
        <f>VLOOKUP(AI21,'Место-баллы'!$A$3:$B$52,2,0)</f>
        <v>100</v>
      </c>
    </row>
    <row r="22" spans="1:36" ht="14.4" x14ac:dyDescent="0.3">
      <c r="A22" s="8"/>
      <c r="B22" s="17">
        <f>RANK(C22,C$19:C$25,0)</f>
        <v>4</v>
      </c>
      <c r="C22" s="17">
        <f>SUMIF($G$12:$AJ$12,1,$G22:$AJ22)</f>
        <v>345</v>
      </c>
      <c r="D22" s="11"/>
      <c r="E22" s="11" t="s">
        <v>113</v>
      </c>
      <c r="F22" s="11"/>
      <c r="G22" s="17">
        <v>45</v>
      </c>
      <c r="H22" s="17">
        <f>RANK(G22,G$19:G$25,0)</f>
        <v>4</v>
      </c>
      <c r="I22" s="17">
        <f>VLOOKUP(H22,'Место-баллы'!$A$3:$B$52,2,0)</f>
        <v>85</v>
      </c>
      <c r="J22" s="9"/>
      <c r="K22" s="29">
        <v>3</v>
      </c>
      <c r="L22" s="29">
        <v>29</v>
      </c>
      <c r="M22" s="30">
        <f>TIME(0,K22,L22)</f>
        <v>2.4189814814814816E-3</v>
      </c>
      <c r="N22" s="29">
        <v>60</v>
      </c>
      <c r="O22" s="29">
        <f>N$13-N22</f>
        <v>0</v>
      </c>
      <c r="P22" s="30">
        <f>M22+TIME(0,0,O22)</f>
        <v>2.4189814814814816E-3</v>
      </c>
      <c r="Q22" s="29">
        <f>RANK(P22,P$19:P$25,1)</f>
        <v>4</v>
      </c>
      <c r="R22" s="29">
        <f>VLOOKUP(Q22,'Место-баллы'!$A$3:$B$52,2,0)</f>
        <v>85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f>134+50</f>
        <v>184</v>
      </c>
      <c r="X22" s="29">
        <f>W$13-W22</f>
        <v>167</v>
      </c>
      <c r="Y22" s="30">
        <f>V22+TIME(0,0,X22)</f>
        <v>7.5462962962962975E-3</v>
      </c>
      <c r="Z22" s="29">
        <f>RANK(Y22,Y$19:Y$25,1)</f>
        <v>5</v>
      </c>
      <c r="AA22" s="29">
        <f>VLOOKUP(Z22,'Место-баллы'!$A$3:$B$52,2,0)</f>
        <v>80</v>
      </c>
      <c r="AB22" s="9"/>
      <c r="AC22" s="29">
        <v>8</v>
      </c>
      <c r="AD22" s="29">
        <v>34</v>
      </c>
      <c r="AE22" s="30">
        <f>TIME(0,AC22,AD22)</f>
        <v>5.9490740740740745E-3</v>
      </c>
      <c r="AF22" s="29">
        <v>86</v>
      </c>
      <c r="AG22" s="29">
        <f>AF$13-AF22</f>
        <v>0</v>
      </c>
      <c r="AH22" s="30">
        <f>AE22+TIME(0,0,AG22)</f>
        <v>5.9490740740740745E-3</v>
      </c>
      <c r="AI22" s="29">
        <f>RANK(AH22,AH$19:AH$25,1)</f>
        <v>2</v>
      </c>
      <c r="AJ22" s="29">
        <f>VLOOKUP(AI22,'Место-баллы'!$A$3:$B$52,2,0)</f>
        <v>95</v>
      </c>
    </row>
    <row r="23" spans="1:36" ht="14.4" x14ac:dyDescent="0.3">
      <c r="A23" s="8"/>
      <c r="B23" s="17">
        <f>RANK(C23,C$19:C$25,0)</f>
        <v>5</v>
      </c>
      <c r="C23" s="17">
        <f>SUMIF($G$12:$AJ$12,1,$G23:$AJ23)</f>
        <v>335</v>
      </c>
      <c r="D23" s="11"/>
      <c r="E23" s="11" t="s">
        <v>111</v>
      </c>
      <c r="F23" s="11"/>
      <c r="G23" s="17">
        <v>44</v>
      </c>
      <c r="H23" s="17">
        <f>RANK(G23,G$19:G$25,0)</f>
        <v>5</v>
      </c>
      <c r="I23" s="17">
        <f>VLOOKUP(H23,'Место-баллы'!$A$3:$B$52,2,0)</f>
        <v>80</v>
      </c>
      <c r="J23" s="9"/>
      <c r="K23" s="29">
        <v>3</v>
      </c>
      <c r="L23" s="29">
        <v>21</v>
      </c>
      <c r="M23" s="30">
        <f>TIME(0,K23,L23)</f>
        <v>2.3263888888888887E-3</v>
      </c>
      <c r="N23" s="29">
        <v>60</v>
      </c>
      <c r="O23" s="29">
        <f>N$13-N23</f>
        <v>0</v>
      </c>
      <c r="P23" s="30">
        <f>M23+TIME(0,0,O23)</f>
        <v>2.3263888888888887E-3</v>
      </c>
      <c r="Q23" s="29">
        <f>RANK(P23,P$19:P$25,1)</f>
        <v>3</v>
      </c>
      <c r="R23" s="29">
        <f>VLOOKUP(Q23,'Место-баллы'!$A$3:$B$52,2,0)</f>
        <v>90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235</v>
      </c>
      <c r="X23" s="29">
        <f>W$13-W23</f>
        <v>116</v>
      </c>
      <c r="Y23" s="30">
        <f>V23+TIME(0,0,X23)</f>
        <v>6.9560185185185194E-3</v>
      </c>
      <c r="Z23" s="29">
        <f>RANK(Y23,Y$19:Y$25,1)</f>
        <v>3</v>
      </c>
      <c r="AA23" s="29">
        <f>VLOOKUP(Z23,'Место-баллы'!$A$3:$B$52,2,0)</f>
        <v>90</v>
      </c>
      <c r="AB23" s="9"/>
      <c r="AC23" s="29">
        <v>12</v>
      </c>
      <c r="AD23" s="29">
        <v>5</v>
      </c>
      <c r="AE23" s="30">
        <f>TIME(0,AC23,AD23)</f>
        <v>8.3912037037037045E-3</v>
      </c>
      <c r="AF23" s="29">
        <v>64</v>
      </c>
      <c r="AG23" s="29">
        <f>AF$13-AF23</f>
        <v>22</v>
      </c>
      <c r="AH23" s="30">
        <f>AE23+TIME(0,0,AG23)</f>
        <v>8.6458333333333335E-3</v>
      </c>
      <c r="AI23" s="29">
        <f>RANK(AH23,AH$19:AH$25,1)</f>
        <v>6</v>
      </c>
      <c r="AJ23" s="29">
        <f>VLOOKUP(AI23,'Место-баллы'!$A$3:$B$52,2,0)</f>
        <v>75</v>
      </c>
    </row>
    <row r="24" spans="1:36" ht="14.4" x14ac:dyDescent="0.3">
      <c r="A24" s="8"/>
      <c r="B24" s="17">
        <f>RANK(C24,C$19:C$25,0)</f>
        <v>6</v>
      </c>
      <c r="C24" s="17">
        <f>SUMIF($G$12:$AJ$12,1,$G24:$AJ24)</f>
        <v>303</v>
      </c>
      <c r="D24" s="11"/>
      <c r="E24" s="11" t="s">
        <v>107</v>
      </c>
      <c r="F24" s="11"/>
      <c r="G24" s="17">
        <v>37</v>
      </c>
      <c r="H24" s="17">
        <f>RANK(G24,G$19:G$25,0)</f>
        <v>7</v>
      </c>
      <c r="I24" s="17">
        <f>VLOOKUP(H24,'Место-баллы'!$A$3:$B$52,2,0)</f>
        <v>73</v>
      </c>
      <c r="J24" s="9"/>
      <c r="K24" s="29">
        <v>4</v>
      </c>
      <c r="L24" s="29">
        <v>16</v>
      </c>
      <c r="M24" s="30">
        <f>TIME(0,K24,L24)</f>
        <v>2.9629629629629628E-3</v>
      </c>
      <c r="N24" s="29">
        <v>60</v>
      </c>
      <c r="O24" s="29">
        <f>N$13-N24</f>
        <v>0</v>
      </c>
      <c r="P24" s="30">
        <f>M24+TIME(0,0,O24)</f>
        <v>2.9629629629629628E-3</v>
      </c>
      <c r="Q24" s="29">
        <f>RANK(P24,P$19:P$25,1)</f>
        <v>6</v>
      </c>
      <c r="R24" s="29">
        <f>VLOOKUP(Q24,'Место-баллы'!$A$3:$B$52,2,0)</f>
        <v>75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v>117</v>
      </c>
      <c r="X24" s="29">
        <f>W$13-W24</f>
        <v>234</v>
      </c>
      <c r="Y24" s="30">
        <f>V24+TIME(0,0,X24)</f>
        <v>8.3217592592592614E-3</v>
      </c>
      <c r="Z24" s="29">
        <f>RANK(Y24,Y$19:Y$25,1)</f>
        <v>6</v>
      </c>
      <c r="AA24" s="29">
        <f>VLOOKUP(Z24,'Место-баллы'!$A$3:$B$52,2,0)</f>
        <v>75</v>
      </c>
      <c r="AB24" s="9"/>
      <c r="AC24" s="29">
        <v>12</v>
      </c>
      <c r="AD24" s="29">
        <v>5</v>
      </c>
      <c r="AE24" s="30">
        <f>TIME(0,AC24,AD24)</f>
        <v>8.3912037037037045E-3</v>
      </c>
      <c r="AF24" s="29">
        <v>72</v>
      </c>
      <c r="AG24" s="29">
        <f>AF$13-AF24</f>
        <v>14</v>
      </c>
      <c r="AH24" s="30">
        <f>AE24+TIME(0,0,AG24)</f>
        <v>8.5532407407407415E-3</v>
      </c>
      <c r="AI24" s="29">
        <f>RANK(AH24,AH$19:AH$25,1)</f>
        <v>5</v>
      </c>
      <c r="AJ24" s="29">
        <f>VLOOKUP(AI24,'Место-баллы'!$A$3:$B$52,2,0)</f>
        <v>80</v>
      </c>
    </row>
    <row r="25" spans="1:36" ht="14.4" x14ac:dyDescent="0.3">
      <c r="A25" s="8"/>
      <c r="B25" s="17">
        <f>RANK(C25,C$19:C$25,0)</f>
        <v>7</v>
      </c>
      <c r="C25" s="17">
        <f>SUMIF($G$12:$AJ$12,1,$G25:$AJ25)</f>
        <v>298</v>
      </c>
      <c r="D25" s="11"/>
      <c r="E25" s="11" t="s">
        <v>110</v>
      </c>
      <c r="F25" s="11"/>
      <c r="G25" s="17">
        <v>40</v>
      </c>
      <c r="H25" s="17">
        <f>RANK(G25,G$19:G$25,0)</f>
        <v>6</v>
      </c>
      <c r="I25" s="17">
        <f>VLOOKUP(H25,'Место-баллы'!$A$3:$B$52,2,0)</f>
        <v>75</v>
      </c>
      <c r="J25" s="9"/>
      <c r="K25" s="29">
        <v>4</v>
      </c>
      <c r="L25" s="29">
        <v>31</v>
      </c>
      <c r="M25" s="30">
        <f>TIME(0,K25,L25)</f>
        <v>3.1365740740740742E-3</v>
      </c>
      <c r="N25" s="29">
        <v>60</v>
      </c>
      <c r="O25" s="29">
        <f>N$13-N25</f>
        <v>0</v>
      </c>
      <c r="P25" s="30">
        <f>M25+TIME(0,0,O25)</f>
        <v>3.1365740740740742E-3</v>
      </c>
      <c r="Q25" s="29">
        <f>RANK(P25,P$19:P$25,1)</f>
        <v>7</v>
      </c>
      <c r="R25" s="29">
        <f>VLOOKUP(Q25,'Место-баллы'!$A$3:$B$52,2,0)</f>
        <v>73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v>117</v>
      </c>
      <c r="X25" s="29">
        <f>W$13-W25</f>
        <v>234</v>
      </c>
      <c r="Y25" s="30">
        <f>V25+TIME(0,0,X25)</f>
        <v>8.3217592592592614E-3</v>
      </c>
      <c r="Z25" s="29">
        <f>RANK(Y25,Y$19:Y$25,1)</f>
        <v>6</v>
      </c>
      <c r="AA25" s="29">
        <f>VLOOKUP(Z25,'Место-баллы'!$A$3:$B$52,2,0)</f>
        <v>75</v>
      </c>
      <c r="AB25" s="9"/>
      <c r="AC25" s="29">
        <v>12</v>
      </c>
      <c r="AD25" s="29">
        <v>5</v>
      </c>
      <c r="AE25" s="30">
        <f>TIME(0,AC25,AD25)</f>
        <v>8.3912037037037045E-3</v>
      </c>
      <c r="AF25" s="29">
        <v>64</v>
      </c>
      <c r="AG25" s="29">
        <f>AF$13-AF25</f>
        <v>22</v>
      </c>
      <c r="AH25" s="30">
        <f>AE25+TIME(0,0,AG25)</f>
        <v>8.6458333333333335E-3</v>
      </c>
      <c r="AI25" s="29">
        <f>RANK(AH25,AH$19:AH$25,1)</f>
        <v>6</v>
      </c>
      <c r="AJ25" s="29">
        <f>VLOOKUP(AI25,'Место-баллы'!$A$3:$B$52,2,0)</f>
        <v>75</v>
      </c>
    </row>
    <row r="26" spans="1:36" ht="15.75" customHeight="1" x14ac:dyDescent="0.3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5.75" customHeight="1" x14ac:dyDescent="0.3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5.75" customHeight="1" outlineLevel="1" x14ac:dyDescent="0.35">
      <c r="A28" s="8"/>
      <c r="B28" s="22" t="s">
        <v>19</v>
      </c>
      <c r="C28" s="22"/>
      <c r="D28" s="22"/>
      <c r="E28" s="22"/>
      <c r="F28" s="22"/>
      <c r="G28" s="22"/>
      <c r="H28" s="2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.75" customHeight="1" outlineLevel="1" x14ac:dyDescent="0.3">
      <c r="B29" s="23"/>
      <c r="C29" s="23"/>
      <c r="D29" s="23"/>
      <c r="E29" s="2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outlineLevel="1" x14ac:dyDescent="0.35">
      <c r="B30" s="22" t="s">
        <v>20</v>
      </c>
      <c r="C30" s="22"/>
      <c r="D30" s="22"/>
      <c r="E30" s="22"/>
      <c r="F30" s="22"/>
      <c r="G30" s="22"/>
      <c r="H30" s="2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x14ac:dyDescent="0.3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x14ac:dyDescent="0.3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0:36" ht="15.75" customHeight="1" x14ac:dyDescent="0.3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0:36" ht="15.75" customHeight="1" x14ac:dyDescent="0.3"/>
    <row r="35" spans="10:36" ht="15.75" customHeight="1" x14ac:dyDescent="0.3"/>
    <row r="36" spans="10:36" ht="15.75" customHeight="1" x14ac:dyDescent="0.3"/>
    <row r="37" spans="10:36" ht="15.75" customHeight="1" x14ac:dyDescent="0.3"/>
    <row r="38" spans="10:36" ht="15.75" customHeight="1" x14ac:dyDescent="0.3"/>
    <row r="39" spans="10:36" ht="15.75" customHeight="1" x14ac:dyDescent="0.3"/>
    <row r="40" spans="10:36" ht="15.75" customHeight="1" x14ac:dyDescent="0.3"/>
    <row r="41" spans="10:36" ht="15.75" customHeight="1" x14ac:dyDescent="0.3"/>
    <row r="42" spans="10:36" ht="15.75" customHeight="1" x14ac:dyDescent="0.3"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0:36" ht="15.75" customHeight="1" x14ac:dyDescent="0.3"/>
    <row r="44" spans="10:36" ht="15.75" customHeight="1" x14ac:dyDescent="0.3"/>
    <row r="45" spans="10:36" ht="15.75" customHeight="1" x14ac:dyDescent="0.3"/>
    <row r="46" spans="10:36" ht="15.75" customHeight="1" x14ac:dyDescent="0.3"/>
    <row r="47" spans="10:36" ht="15.75" customHeight="1" x14ac:dyDescent="0.3"/>
    <row r="48" spans="10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</sheetData>
  <autoFilter ref="B18:AJ18" xr:uid="{00000000-0009-0000-0000-000005000000}">
    <sortState xmlns:xlrd2="http://schemas.microsoft.com/office/spreadsheetml/2017/richdata2" ref="B19:AJ25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1"/>
  <sheetViews>
    <sheetView topLeftCell="A9" workbookViewId="0">
      <selection activeCell="B16" sqref="B16:AJ27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2.44140625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41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30+2+30+2+30+2</f>
        <v>96</v>
      </c>
      <c r="AG13" s="25"/>
      <c r="AH13" s="25"/>
      <c r="AI13" s="25"/>
    </row>
    <row r="14" spans="2:36" s="2" customFormat="1" ht="14.4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x14ac:dyDescent="0.3">
      <c r="B16" s="41" t="s">
        <v>3</v>
      </c>
      <c r="C16" s="42"/>
      <c r="D16" s="17"/>
      <c r="E16" s="45" t="s">
        <v>42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RANK(C19,C$19:C$27,0)</f>
        <v>1</v>
      </c>
      <c r="C19" s="17">
        <f>SUMIF($G$12:$AJ$12,1,$G19:$AJ19)</f>
        <v>395</v>
      </c>
      <c r="D19" s="11"/>
      <c r="E19" s="11" t="s">
        <v>118</v>
      </c>
      <c r="F19" s="11"/>
      <c r="G19" s="17">
        <v>75</v>
      </c>
      <c r="H19" s="17">
        <f>RANK(G19,G$19:G$27,0)</f>
        <v>2</v>
      </c>
      <c r="I19" s="17">
        <f>VLOOKUP(H19,'Место-баллы'!$A$3:$B$52,2,0)</f>
        <v>95</v>
      </c>
      <c r="J19" s="9"/>
      <c r="K19" s="29">
        <v>2</v>
      </c>
      <c r="L19" s="29">
        <v>58</v>
      </c>
      <c r="M19" s="30">
        <f>TIME(0,K19,L19)</f>
        <v>2.0601851851851853E-3</v>
      </c>
      <c r="N19" s="29">
        <v>60</v>
      </c>
      <c r="O19" s="29">
        <f>N$13-N19</f>
        <v>0</v>
      </c>
      <c r="P19" s="30">
        <f>M19+TIME(0,0,O19)</f>
        <v>2.0601851851851853E-3</v>
      </c>
      <c r="Q19" s="29">
        <f>RANK(P19,P$19:P$27,1)</f>
        <v>1</v>
      </c>
      <c r="R19" s="29">
        <f>VLOOKUP(Q19,'Место-баллы'!$A$3:$B$52,2,0)</f>
        <v>100</v>
      </c>
      <c r="S19" s="9"/>
      <c r="T19" s="29">
        <v>7</v>
      </c>
      <c r="U19" s="29">
        <v>47</v>
      </c>
      <c r="V19" s="30">
        <f>TIME(0,T19,U19)</f>
        <v>5.4050925925925924E-3</v>
      </c>
      <c r="W19" s="29">
        <v>351</v>
      </c>
      <c r="X19" s="29">
        <f>W$13-W19</f>
        <v>0</v>
      </c>
      <c r="Y19" s="30">
        <f>V19+TIME(0,0,X19)</f>
        <v>5.4050925925925924E-3</v>
      </c>
      <c r="Z19" s="29">
        <f>RANK(Y19,Y$19:Y$27,1)</f>
        <v>1</v>
      </c>
      <c r="AA19" s="29">
        <f>VLOOKUP(Z19,'Место-баллы'!$A$3:$B$52,2,0)</f>
        <v>100</v>
      </c>
      <c r="AB19" s="9"/>
      <c r="AC19" s="29">
        <v>6</v>
      </c>
      <c r="AD19" s="29">
        <v>13</v>
      </c>
      <c r="AE19" s="30">
        <f>TIME(0,AC19,AD19)</f>
        <v>4.31712962962963E-3</v>
      </c>
      <c r="AF19" s="29">
        <v>96</v>
      </c>
      <c r="AG19" s="29">
        <f>AF$13-AF19</f>
        <v>0</v>
      </c>
      <c r="AH19" s="30">
        <f>AE19+TIME(0,0,AG19)</f>
        <v>4.31712962962963E-3</v>
      </c>
      <c r="AI19" s="29">
        <f>RANK(AH19,AH$19:AH$27,1)</f>
        <v>1</v>
      </c>
      <c r="AJ19" s="29">
        <f>VLOOKUP(AI19,'Место-баллы'!$A$3:$B$52,2,0)</f>
        <v>100</v>
      </c>
    </row>
    <row r="20" spans="1:36" ht="14.4" x14ac:dyDescent="0.3">
      <c r="A20" s="8"/>
      <c r="B20" s="17">
        <f>RANK(C20,C$19:C$27,0)</f>
        <v>2</v>
      </c>
      <c r="C20" s="17">
        <f>SUMIF($G$12:$AJ$12,1,$G20:$AJ20)</f>
        <v>375</v>
      </c>
      <c r="D20" s="11"/>
      <c r="E20" s="11" t="s">
        <v>121</v>
      </c>
      <c r="F20" s="11"/>
      <c r="G20" s="17">
        <v>82</v>
      </c>
      <c r="H20" s="17">
        <f>RANK(G20,G$19:G$27,0)</f>
        <v>1</v>
      </c>
      <c r="I20" s="17">
        <f>VLOOKUP(H20,'Место-баллы'!$A$3:$B$52,2,0)</f>
        <v>100</v>
      </c>
      <c r="J20" s="9"/>
      <c r="K20" s="29">
        <v>3</v>
      </c>
      <c r="L20" s="29">
        <v>8</v>
      </c>
      <c r="M20" s="30">
        <f>TIME(0,K20,L20)</f>
        <v>2.1759259259259258E-3</v>
      </c>
      <c r="N20" s="29">
        <v>60</v>
      </c>
      <c r="O20" s="29">
        <f>N$13-N20</f>
        <v>0</v>
      </c>
      <c r="P20" s="30">
        <f>M20+TIME(0,0,O20)</f>
        <v>2.1759259259259258E-3</v>
      </c>
      <c r="Q20" s="29">
        <f>RANK(P20,P$19:P$27,1)</f>
        <v>2</v>
      </c>
      <c r="R20" s="29">
        <f>VLOOKUP(Q20,'Место-баллы'!$A$3:$B$52,2,0)</f>
        <v>95</v>
      </c>
      <c r="S20" s="9"/>
      <c r="T20" s="29">
        <v>8</v>
      </c>
      <c r="U20" s="29">
        <v>5</v>
      </c>
      <c r="V20" s="30">
        <f>TIME(0,T20,U20)</f>
        <v>5.6134259259259271E-3</v>
      </c>
      <c r="W20" s="29">
        <f>251+45</f>
        <v>296</v>
      </c>
      <c r="X20" s="29">
        <f>W$13-W20</f>
        <v>55</v>
      </c>
      <c r="Y20" s="30">
        <f>V20+TIME(0,0,X20)</f>
        <v>6.2500000000000012E-3</v>
      </c>
      <c r="Z20" s="29">
        <f>RANK(Y20,Y$19:Y$27,1)</f>
        <v>4</v>
      </c>
      <c r="AA20" s="29">
        <f>VLOOKUP(Z20,'Место-баллы'!$A$3:$B$52,2,0)</f>
        <v>85</v>
      </c>
      <c r="AB20" s="9"/>
      <c r="AC20" s="29">
        <v>6</v>
      </c>
      <c r="AD20" s="29">
        <v>32</v>
      </c>
      <c r="AE20" s="30">
        <f>TIME(0,AC20,AD20)</f>
        <v>4.5370370370370365E-3</v>
      </c>
      <c r="AF20" s="29">
        <v>96</v>
      </c>
      <c r="AG20" s="29">
        <f>AF$13-AF20</f>
        <v>0</v>
      </c>
      <c r="AH20" s="30">
        <f>AE20+TIME(0,0,AG20)</f>
        <v>4.5370370370370365E-3</v>
      </c>
      <c r="AI20" s="29">
        <f>RANK(AH20,AH$19:AH$27,1)</f>
        <v>2</v>
      </c>
      <c r="AJ20" s="29">
        <f>VLOOKUP(AI20,'Место-баллы'!$A$3:$B$52,2,0)</f>
        <v>95</v>
      </c>
    </row>
    <row r="21" spans="1:36" ht="14.4" x14ac:dyDescent="0.3">
      <c r="A21" s="8"/>
      <c r="B21" s="17">
        <f>RANK(C21,C$19:C$27,0)</f>
        <v>3</v>
      </c>
      <c r="C21" s="17">
        <f>SUMIF($G$12:$AJ$12,1,$G21:$AJ21)</f>
        <v>333</v>
      </c>
      <c r="D21" s="11"/>
      <c r="E21" s="11" t="s">
        <v>120</v>
      </c>
      <c r="F21" s="11"/>
      <c r="G21" s="17">
        <v>69</v>
      </c>
      <c r="H21" s="17">
        <f>RANK(G21,G$19:G$27,0)</f>
        <v>7</v>
      </c>
      <c r="I21" s="17">
        <f>VLOOKUP(H21,'Место-баллы'!$A$3:$B$52,2,0)</f>
        <v>73</v>
      </c>
      <c r="J21" s="9"/>
      <c r="K21" s="29">
        <v>3</v>
      </c>
      <c r="L21" s="29">
        <v>30</v>
      </c>
      <c r="M21" s="30">
        <f>TIME(0,K21,L21)</f>
        <v>2.4305555555555556E-3</v>
      </c>
      <c r="N21" s="29">
        <v>60</v>
      </c>
      <c r="O21" s="29">
        <f>N$13-N21</f>
        <v>0</v>
      </c>
      <c r="P21" s="30">
        <f>M21+TIME(0,0,O21)</f>
        <v>2.4305555555555556E-3</v>
      </c>
      <c r="Q21" s="29">
        <f>RANK(P21,P$19:P$27,1)</f>
        <v>6</v>
      </c>
      <c r="R21" s="29">
        <f>VLOOKUP(Q21,'Место-баллы'!$A$3:$B$52,2,0)</f>
        <v>75</v>
      </c>
      <c r="S21" s="9"/>
      <c r="T21" s="29">
        <v>7</v>
      </c>
      <c r="U21" s="29">
        <v>49</v>
      </c>
      <c r="V21" s="30">
        <f>TIME(0,T21,U21)</f>
        <v>5.4282407407407404E-3</v>
      </c>
      <c r="W21" s="29">
        <v>351</v>
      </c>
      <c r="X21" s="29">
        <f>W$13-W21</f>
        <v>0</v>
      </c>
      <c r="Y21" s="30">
        <f>V21+TIME(0,0,X21)</f>
        <v>5.4282407407407404E-3</v>
      </c>
      <c r="Z21" s="29">
        <f>RANK(Y21,Y$19:Y$27,1)</f>
        <v>2</v>
      </c>
      <c r="AA21" s="29">
        <f>VLOOKUP(Z21,'Место-баллы'!$A$3:$B$52,2,0)</f>
        <v>95</v>
      </c>
      <c r="AB21" s="9"/>
      <c r="AC21" s="29">
        <v>6</v>
      </c>
      <c r="AD21" s="29">
        <v>39</v>
      </c>
      <c r="AE21" s="30">
        <f>TIME(0,AC21,AD21)</f>
        <v>4.6180555555555558E-3</v>
      </c>
      <c r="AF21" s="29">
        <v>96</v>
      </c>
      <c r="AG21" s="29">
        <f>AF$13-AF21</f>
        <v>0</v>
      </c>
      <c r="AH21" s="30">
        <f>AE21+TIME(0,0,AG21)</f>
        <v>4.6180555555555558E-3</v>
      </c>
      <c r="AI21" s="29">
        <f>RANK(AH21,AH$19:AH$27,1)</f>
        <v>3</v>
      </c>
      <c r="AJ21" s="29">
        <f>VLOOKUP(AI21,'Место-баллы'!$A$3:$B$52,2,0)</f>
        <v>90</v>
      </c>
    </row>
    <row r="22" spans="1:36" ht="14.4" x14ac:dyDescent="0.3">
      <c r="A22" s="8"/>
      <c r="B22" s="17">
        <f>RANK(C22,C$19:C$27,0)</f>
        <v>4</v>
      </c>
      <c r="C22" s="17">
        <f>SUMIF($G$12:$AJ$12,1,$G22:$AJ22)</f>
        <v>326</v>
      </c>
      <c r="D22" s="11"/>
      <c r="E22" s="11" t="s">
        <v>116</v>
      </c>
      <c r="F22" s="11"/>
      <c r="G22" s="17">
        <v>70</v>
      </c>
      <c r="H22" s="17">
        <f>RANK(G22,G$19:G$27,0)</f>
        <v>6</v>
      </c>
      <c r="I22" s="17">
        <f>VLOOKUP(H22,'Место-баллы'!$A$3:$B$52,2,0)</f>
        <v>75</v>
      </c>
      <c r="J22" s="9"/>
      <c r="K22" s="29">
        <v>3</v>
      </c>
      <c r="L22" s="29">
        <v>37</v>
      </c>
      <c r="M22" s="30">
        <f>TIME(0,K22,L22)</f>
        <v>2.5115740740740741E-3</v>
      </c>
      <c r="N22" s="29">
        <v>60</v>
      </c>
      <c r="O22" s="29">
        <f>N$13-N22</f>
        <v>0</v>
      </c>
      <c r="P22" s="30">
        <f>M22+TIME(0,0,O22)</f>
        <v>2.5115740740740741E-3</v>
      </c>
      <c r="Q22" s="29">
        <f>RANK(P22,P$19:P$27,1)</f>
        <v>8</v>
      </c>
      <c r="R22" s="29">
        <f>VLOOKUP(Q22,'Место-баллы'!$A$3:$B$52,2,0)</f>
        <v>71</v>
      </c>
      <c r="S22" s="9"/>
      <c r="T22" s="29">
        <v>8</v>
      </c>
      <c r="U22" s="29">
        <v>5</v>
      </c>
      <c r="V22" s="30">
        <f>TIME(0,T22,U22)</f>
        <v>5.6134259259259271E-3</v>
      </c>
      <c r="W22" s="36">
        <f>251+56</f>
        <v>307</v>
      </c>
      <c r="X22" s="29">
        <f>W$13-W22</f>
        <v>44</v>
      </c>
      <c r="Y22" s="30">
        <f>V22+TIME(0,0,X22)</f>
        <v>6.1226851851851859E-3</v>
      </c>
      <c r="Z22" s="29">
        <f>RANK(Y22,Y$19:Y$27,1)</f>
        <v>3</v>
      </c>
      <c r="AA22" s="29">
        <f>VLOOKUP(Z22,'Место-баллы'!$A$3:$B$52,2,0)</f>
        <v>90</v>
      </c>
      <c r="AB22" s="9"/>
      <c r="AC22" s="29">
        <v>6</v>
      </c>
      <c r="AD22" s="29">
        <v>39</v>
      </c>
      <c r="AE22" s="30">
        <f>TIME(0,AC22,AD22)</f>
        <v>4.6180555555555558E-3</v>
      </c>
      <c r="AF22" s="29">
        <v>96</v>
      </c>
      <c r="AG22" s="29">
        <f>AF$13-AF22</f>
        <v>0</v>
      </c>
      <c r="AH22" s="30">
        <f>AE22+TIME(0,0,AG22)</f>
        <v>4.6180555555555558E-3</v>
      </c>
      <c r="AI22" s="29">
        <f>RANK(AH22,AH$19:AH$27,1)</f>
        <v>3</v>
      </c>
      <c r="AJ22" s="29">
        <f>VLOOKUP(AI22,'Место-баллы'!$A$3:$B$52,2,0)</f>
        <v>90</v>
      </c>
    </row>
    <row r="23" spans="1:36" ht="14.4" x14ac:dyDescent="0.3">
      <c r="A23" s="8"/>
      <c r="B23" s="17">
        <f>RANK(C23,C$19:C$27,0)</f>
        <v>5</v>
      </c>
      <c r="C23" s="17">
        <f>SUMIF($G$12:$AJ$12,1,$G23:$AJ23)</f>
        <v>321</v>
      </c>
      <c r="D23" s="11"/>
      <c r="E23" s="11" t="s">
        <v>119</v>
      </c>
      <c r="F23" s="11"/>
      <c r="G23" s="17">
        <v>75</v>
      </c>
      <c r="H23" s="17">
        <f>RANK(G23,G$19:G$27,0)</f>
        <v>2</v>
      </c>
      <c r="I23" s="17">
        <f>VLOOKUP(H23,'Место-баллы'!$A$3:$B$52,2,0)</f>
        <v>95</v>
      </c>
      <c r="J23" s="9"/>
      <c r="K23" s="29">
        <v>3</v>
      </c>
      <c r="L23" s="29">
        <v>29</v>
      </c>
      <c r="M23" s="30">
        <f>TIME(0,K23,L23)</f>
        <v>2.4189814814814816E-3</v>
      </c>
      <c r="N23" s="29">
        <v>60</v>
      </c>
      <c r="O23" s="29">
        <f>N$13-N23</f>
        <v>0</v>
      </c>
      <c r="P23" s="30">
        <f>M23+TIME(0,0,O23)</f>
        <v>2.4189814814814816E-3</v>
      </c>
      <c r="Q23" s="29">
        <f>RANK(P23,P$19:P$27,1)</f>
        <v>5</v>
      </c>
      <c r="R23" s="29">
        <f>VLOOKUP(Q23,'Место-баллы'!$A$3:$B$52,2,0)</f>
        <v>80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239</v>
      </c>
      <c r="X23" s="29">
        <f>W$13-W23</f>
        <v>112</v>
      </c>
      <c r="Y23" s="30">
        <f>V23+TIME(0,0,X23)</f>
        <v>6.9097222222222233E-3</v>
      </c>
      <c r="Z23" s="29">
        <f>RANK(Y23,Y$19:Y$27,1)</f>
        <v>7</v>
      </c>
      <c r="AA23" s="29">
        <f>VLOOKUP(Z23,'Место-баллы'!$A$3:$B$52,2,0)</f>
        <v>73</v>
      </c>
      <c r="AB23" s="9"/>
      <c r="AC23" s="29">
        <v>9</v>
      </c>
      <c r="AD23" s="29">
        <v>4</v>
      </c>
      <c r="AE23" s="30">
        <f>TIME(0,AC23,AD23)</f>
        <v>6.2962962962962964E-3</v>
      </c>
      <c r="AF23" s="29">
        <v>96</v>
      </c>
      <c r="AG23" s="29">
        <f>AF$13-AF23</f>
        <v>0</v>
      </c>
      <c r="AH23" s="30">
        <f>AE23+TIME(0,0,AG23)</f>
        <v>6.2962962962962964E-3</v>
      </c>
      <c r="AI23" s="29">
        <f>RANK(AH23,AH$19:AH$27,1)</f>
        <v>7</v>
      </c>
      <c r="AJ23" s="29">
        <f>VLOOKUP(AI23,'Место-баллы'!$A$3:$B$52,2,0)</f>
        <v>73</v>
      </c>
    </row>
    <row r="24" spans="1:36" ht="14.4" x14ac:dyDescent="0.3">
      <c r="A24" s="8"/>
      <c r="B24" s="17">
        <f>RANK(C24,C$19:C$27,0)</f>
        <v>6</v>
      </c>
      <c r="C24" s="17">
        <f>SUMIF($G$12:$AJ$12,1,$G24:$AJ24)</f>
        <v>309</v>
      </c>
      <c r="D24" s="11"/>
      <c r="E24" s="11" t="s">
        <v>117</v>
      </c>
      <c r="F24" s="11"/>
      <c r="G24" s="17">
        <v>71</v>
      </c>
      <c r="H24" s="17">
        <f>RANK(G24,G$19:G$27,0)</f>
        <v>5</v>
      </c>
      <c r="I24" s="17">
        <f>VLOOKUP(H24,'Место-баллы'!$A$3:$B$52,2,0)</f>
        <v>80</v>
      </c>
      <c r="J24" s="9"/>
      <c r="K24" s="29">
        <v>3</v>
      </c>
      <c r="L24" s="29">
        <v>26</v>
      </c>
      <c r="M24" s="30">
        <f>TIME(0,K24,L24)</f>
        <v>2.3842592592592591E-3</v>
      </c>
      <c r="N24" s="29">
        <v>60</v>
      </c>
      <c r="O24" s="29">
        <f>N$13-N24</f>
        <v>0</v>
      </c>
      <c r="P24" s="30">
        <f>M24+TIME(0,0,O24)</f>
        <v>2.3842592592592591E-3</v>
      </c>
      <c r="Q24" s="29">
        <f>RANK(P24,P$19:P$27,1)</f>
        <v>4</v>
      </c>
      <c r="R24" s="29">
        <f>VLOOKUP(Q24,'Место-баллы'!$A$3:$B$52,2,0)</f>
        <v>85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f>134+44</f>
        <v>178</v>
      </c>
      <c r="X24" s="29">
        <f>W$13-W24</f>
        <v>173</v>
      </c>
      <c r="Y24" s="30">
        <f>V24+TIME(0,0,X24)</f>
        <v>7.6157407407407424E-3</v>
      </c>
      <c r="Z24" s="29">
        <f>RANK(Y24,Y$19:Y$27,1)</f>
        <v>9</v>
      </c>
      <c r="AA24" s="29">
        <f>VLOOKUP(Z24,'Место-баллы'!$A$3:$B$52,2,0)</f>
        <v>69</v>
      </c>
      <c r="AB24" s="9"/>
      <c r="AC24" s="29">
        <v>8</v>
      </c>
      <c r="AD24" s="29">
        <v>58</v>
      </c>
      <c r="AE24" s="30">
        <f>TIME(0,AC24,AD24)</f>
        <v>6.2268518518518515E-3</v>
      </c>
      <c r="AF24" s="29">
        <v>96</v>
      </c>
      <c r="AG24" s="29">
        <f>AF$13-AF24</f>
        <v>0</v>
      </c>
      <c r="AH24" s="30">
        <f>AE24+TIME(0,0,AG24)</f>
        <v>6.2268518518518515E-3</v>
      </c>
      <c r="AI24" s="29">
        <f>RANK(AH24,AH$19:AH$27,1)</f>
        <v>6</v>
      </c>
      <c r="AJ24" s="29">
        <f>VLOOKUP(AI24,'Место-баллы'!$A$3:$B$52,2,0)</f>
        <v>75</v>
      </c>
    </row>
    <row r="25" spans="1:36" ht="14.4" x14ac:dyDescent="0.3">
      <c r="A25" s="8"/>
      <c r="B25" s="17">
        <f>RANK(C25,C$19:C$27,0)</f>
        <v>7</v>
      </c>
      <c r="C25" s="17">
        <f>SUMIF($G$12:$AJ$12,1,$G25:$AJ25)</f>
        <v>308</v>
      </c>
      <c r="D25" s="11"/>
      <c r="E25" s="11" t="s">
        <v>114</v>
      </c>
      <c r="F25" s="11"/>
      <c r="G25" s="17">
        <v>75</v>
      </c>
      <c r="H25" s="17">
        <f>RANK(G25,G$19:G$27,0)</f>
        <v>2</v>
      </c>
      <c r="I25" s="17">
        <f>VLOOKUP(H25,'Место-баллы'!$A$3:$B$52,2,0)</f>
        <v>95</v>
      </c>
      <c r="J25" s="9"/>
      <c r="K25" s="29">
        <v>3</v>
      </c>
      <c r="L25" s="29">
        <v>32</v>
      </c>
      <c r="M25" s="30">
        <f>TIME(0,K25,L25)</f>
        <v>2.4537037037037036E-3</v>
      </c>
      <c r="N25" s="29">
        <v>60</v>
      </c>
      <c r="O25" s="29">
        <f>N$13-N25</f>
        <v>0</v>
      </c>
      <c r="P25" s="30">
        <f>M25+TIME(0,0,O25)</f>
        <v>2.4537037037037036E-3</v>
      </c>
      <c r="Q25" s="29">
        <f>RANK(P25,P$19:P$27,1)</f>
        <v>7</v>
      </c>
      <c r="R25" s="29">
        <f>VLOOKUP(Q25,'Место-баллы'!$A$3:$B$52,2,0)</f>
        <v>73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f>134+90</f>
        <v>224</v>
      </c>
      <c r="X25" s="29">
        <f>W$13-W25</f>
        <v>127</v>
      </c>
      <c r="Y25" s="30">
        <f>V25+TIME(0,0,X25)</f>
        <v>7.0833333333333347E-3</v>
      </c>
      <c r="Z25" s="29">
        <f>RANK(Y25,Y$19:Y$27,1)</f>
        <v>8</v>
      </c>
      <c r="AA25" s="29">
        <f>VLOOKUP(Z25,'Место-баллы'!$A$3:$B$52,2,0)</f>
        <v>71</v>
      </c>
      <c r="AB25" s="9"/>
      <c r="AC25" s="29">
        <v>10</v>
      </c>
      <c r="AD25" s="29">
        <v>17</v>
      </c>
      <c r="AE25" s="30">
        <f>TIME(0,AC25,AD25)</f>
        <v>7.1412037037037043E-3</v>
      </c>
      <c r="AF25" s="29">
        <v>96</v>
      </c>
      <c r="AG25" s="29">
        <f>AF$13-AF25</f>
        <v>0</v>
      </c>
      <c r="AH25" s="30">
        <f>AE25+TIME(0,0,AG25)</f>
        <v>7.1412037037037043E-3</v>
      </c>
      <c r="AI25" s="29">
        <f>RANK(AH25,AH$19:AH$27,1)</f>
        <v>9</v>
      </c>
      <c r="AJ25" s="29">
        <f>VLOOKUP(AI25,'Место-баллы'!$A$3:$B$52,2,0)</f>
        <v>69</v>
      </c>
    </row>
    <row r="26" spans="1:36" ht="14.4" x14ac:dyDescent="0.3">
      <c r="A26" s="8"/>
      <c r="B26" s="17">
        <f>RANK(C26,C$19:C$27,0)</f>
        <v>8</v>
      </c>
      <c r="C26" s="17">
        <f>SUMIF($G$12:$AJ$12,1,$G26:$AJ26)</f>
        <v>305</v>
      </c>
      <c r="D26" s="11"/>
      <c r="E26" s="11" t="s">
        <v>115</v>
      </c>
      <c r="F26" s="11"/>
      <c r="G26" s="17">
        <v>61</v>
      </c>
      <c r="H26" s="17">
        <f>RANK(G26,G$19:G$27,0)</f>
        <v>9</v>
      </c>
      <c r="I26" s="17">
        <f>VLOOKUP(H26,'Место-баллы'!$A$3:$B$52,2,0)</f>
        <v>69</v>
      </c>
      <c r="J26" s="9"/>
      <c r="K26" s="29">
        <v>3</v>
      </c>
      <c r="L26" s="29">
        <v>24</v>
      </c>
      <c r="M26" s="30">
        <f>TIME(0,K26,L26)</f>
        <v>2.3611111111111111E-3</v>
      </c>
      <c r="N26" s="29">
        <v>60</v>
      </c>
      <c r="O26" s="29">
        <f>N$13-N26</f>
        <v>0</v>
      </c>
      <c r="P26" s="30">
        <f>M26+TIME(0,0,O26)</f>
        <v>2.3611111111111111E-3</v>
      </c>
      <c r="Q26" s="29">
        <f>RANK(P26,P$19:P$27,1)</f>
        <v>3</v>
      </c>
      <c r="R26" s="29">
        <f>VLOOKUP(Q26,'Место-баллы'!$A$3:$B$52,2,0)</f>
        <v>90</v>
      </c>
      <c r="S26" s="9"/>
      <c r="T26" s="29">
        <v>8</v>
      </c>
      <c r="U26" s="29">
        <v>5</v>
      </c>
      <c r="V26" s="30">
        <f>TIME(0,T26,U26)</f>
        <v>5.6134259259259271E-3</v>
      </c>
      <c r="W26" s="29">
        <f>236+7</f>
        <v>243</v>
      </c>
      <c r="X26" s="29">
        <f>W$13-W26</f>
        <v>108</v>
      </c>
      <c r="Y26" s="30">
        <f>V26+TIME(0,0,X26)</f>
        <v>6.8634259259259273E-3</v>
      </c>
      <c r="Z26" s="29">
        <f>RANK(Y26,Y$19:Y$27,1)</f>
        <v>6</v>
      </c>
      <c r="AA26" s="29">
        <f>VLOOKUP(Z26,'Место-баллы'!$A$3:$B$52,2,0)</f>
        <v>75</v>
      </c>
      <c r="AB26" s="9"/>
      <c r="AC26" s="29">
        <v>9</v>
      </c>
      <c r="AD26" s="29">
        <v>18</v>
      </c>
      <c r="AE26" s="30">
        <f>TIME(0,AC26,AD26)</f>
        <v>6.4583333333333333E-3</v>
      </c>
      <c r="AF26" s="29">
        <v>96</v>
      </c>
      <c r="AG26" s="29">
        <f>AF$13-AF26</f>
        <v>0</v>
      </c>
      <c r="AH26" s="30">
        <f>AE26+TIME(0,0,AG26)</f>
        <v>6.4583333333333333E-3</v>
      </c>
      <c r="AI26" s="29">
        <f>RANK(AH26,AH$19:AH$27,1)</f>
        <v>8</v>
      </c>
      <c r="AJ26" s="29">
        <f>VLOOKUP(AI26,'Место-баллы'!$A$3:$B$52,2,0)</f>
        <v>71</v>
      </c>
    </row>
    <row r="27" spans="1:36" ht="14.4" x14ac:dyDescent="0.3">
      <c r="A27" s="8"/>
      <c r="B27" s="17">
        <f>RANK(C27,C$19:C$27,0)</f>
        <v>9</v>
      </c>
      <c r="C27" s="17">
        <f>SUMIF($G$12:$AJ$12,1,$G27:$AJ27)</f>
        <v>300</v>
      </c>
      <c r="D27" s="11"/>
      <c r="E27" s="11" t="s">
        <v>122</v>
      </c>
      <c r="F27" s="11"/>
      <c r="G27" s="17">
        <v>66</v>
      </c>
      <c r="H27" s="17">
        <f>RANK(G27,G$19:G$27,0)</f>
        <v>8</v>
      </c>
      <c r="I27" s="17">
        <f>VLOOKUP(H27,'Место-баллы'!$A$3:$B$52,2,0)</f>
        <v>71</v>
      </c>
      <c r="J27" s="9"/>
      <c r="K27" s="29">
        <v>3</v>
      </c>
      <c r="L27" s="29">
        <v>39</v>
      </c>
      <c r="M27" s="30">
        <f>TIME(0,K27,L27)</f>
        <v>2.5347222222222221E-3</v>
      </c>
      <c r="N27" s="29">
        <v>60</v>
      </c>
      <c r="O27" s="29">
        <f>N$13-N27</f>
        <v>0</v>
      </c>
      <c r="P27" s="30">
        <f>M27+TIME(0,0,O27)</f>
        <v>2.5347222222222221E-3</v>
      </c>
      <c r="Q27" s="29">
        <f>RANK(P27,P$19:P$27,1)</f>
        <v>9</v>
      </c>
      <c r="R27" s="29">
        <f>VLOOKUP(Q27,'Место-баллы'!$A$3:$B$52,2,0)</f>
        <v>69</v>
      </c>
      <c r="S27" s="9"/>
      <c r="T27" s="29">
        <v>8</v>
      </c>
      <c r="U27" s="29">
        <v>5</v>
      </c>
      <c r="V27" s="30">
        <f>TIME(0,T27,U27)</f>
        <v>5.6134259259259271E-3</v>
      </c>
      <c r="W27" s="36">
        <f>251+30</f>
        <v>281</v>
      </c>
      <c r="X27" s="29">
        <f>W$13-W27</f>
        <v>70</v>
      </c>
      <c r="Y27" s="30">
        <f>V27+TIME(0,0,X27)</f>
        <v>6.4236111111111126E-3</v>
      </c>
      <c r="Z27" s="29">
        <f>RANK(Y27,Y$19:Y$27,1)</f>
        <v>5</v>
      </c>
      <c r="AA27" s="29">
        <f>VLOOKUP(Z27,'Место-баллы'!$A$3:$B$52,2,0)</f>
        <v>80</v>
      </c>
      <c r="AB27" s="9"/>
      <c r="AC27" s="29">
        <v>6</v>
      </c>
      <c r="AD27" s="29">
        <v>58</v>
      </c>
      <c r="AE27" s="30">
        <f>TIME(0,AC27,AD27)</f>
        <v>4.8379629629629632E-3</v>
      </c>
      <c r="AF27" s="29">
        <v>96</v>
      </c>
      <c r="AG27" s="29">
        <f>AF$13-AF27</f>
        <v>0</v>
      </c>
      <c r="AH27" s="30">
        <f>AE27+TIME(0,0,AG27)</f>
        <v>4.8379629629629632E-3</v>
      </c>
      <c r="AI27" s="29">
        <f>RANK(AH27,AH$19:AH$27,1)</f>
        <v>5</v>
      </c>
      <c r="AJ27" s="29">
        <f>VLOOKUP(AI27,'Место-баллы'!$A$3:$B$52,2,0)</f>
        <v>80</v>
      </c>
    </row>
    <row r="28" spans="1:36" ht="15.75" customHeight="1" x14ac:dyDescent="0.3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.75" customHeight="1" x14ac:dyDescent="0.3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outlineLevel="1" x14ac:dyDescent="0.35">
      <c r="A30" s="8"/>
      <c r="B30" s="22" t="s">
        <v>19</v>
      </c>
      <c r="C30" s="22"/>
      <c r="D30" s="22"/>
      <c r="E30" s="22"/>
      <c r="F30" s="22"/>
      <c r="G30" s="22"/>
      <c r="H30" s="2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outlineLevel="1" x14ac:dyDescent="0.3">
      <c r="B31" s="23"/>
      <c r="C31" s="23"/>
      <c r="D31" s="23"/>
      <c r="E31" s="2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outlineLevel="1" x14ac:dyDescent="0.35">
      <c r="B32" s="22" t="s">
        <v>20</v>
      </c>
      <c r="C32" s="22"/>
      <c r="D32" s="22"/>
      <c r="E32" s="22"/>
      <c r="F32" s="22"/>
      <c r="G32" s="22"/>
      <c r="H32" s="22"/>
      <c r="I32" s="2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0:36" ht="15.75" customHeight="1" x14ac:dyDescent="0.3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0:36" ht="15.75" customHeight="1" x14ac:dyDescent="0.3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0:36" ht="15.75" customHeight="1" x14ac:dyDescent="0.3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0:36" ht="15.75" customHeight="1" x14ac:dyDescent="0.3"/>
    <row r="37" spans="10:36" ht="15.75" customHeight="1" x14ac:dyDescent="0.3"/>
    <row r="38" spans="10:36" ht="15.75" customHeight="1" x14ac:dyDescent="0.3"/>
    <row r="39" spans="10:36" ht="15.75" customHeight="1" x14ac:dyDescent="0.3"/>
    <row r="40" spans="10:36" ht="15.75" customHeight="1" x14ac:dyDescent="0.3"/>
    <row r="41" spans="10:36" ht="15.75" customHeight="1" x14ac:dyDescent="0.3"/>
    <row r="42" spans="10:36" ht="15.75" customHeight="1" x14ac:dyDescent="0.3"/>
    <row r="43" spans="10:36" ht="15.75" customHeight="1" x14ac:dyDescent="0.3"/>
    <row r="44" spans="10:36" ht="15.75" customHeight="1" x14ac:dyDescent="0.3"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0:36" ht="15.75" customHeight="1" x14ac:dyDescent="0.3"/>
    <row r="46" spans="10:36" ht="15.75" customHeight="1" x14ac:dyDescent="0.3"/>
    <row r="47" spans="10:36" ht="15.75" customHeight="1" x14ac:dyDescent="0.3"/>
    <row r="48" spans="10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</sheetData>
  <autoFilter ref="B18:AJ18" xr:uid="{00000000-0009-0000-0000-000006000000}">
    <sortState xmlns:xlrd2="http://schemas.microsoft.com/office/spreadsheetml/2017/richdata2" ref="B19:AJ27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87"/>
  <sheetViews>
    <sheetView topLeftCell="A7" workbookViewId="0">
      <selection activeCell="B10" sqref="B10:AJ23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43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hidden="1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hidden="1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v>183</v>
      </c>
      <c r="X13" s="25"/>
      <c r="Y13" s="25"/>
      <c r="Z13" s="25"/>
      <c r="AC13" s="25"/>
      <c r="AD13" s="25"/>
      <c r="AE13" s="25"/>
      <c r="AF13" s="33">
        <f>30+2+30+2+20+2</f>
        <v>86</v>
      </c>
      <c r="AG13" s="25"/>
      <c r="AH13" s="25"/>
      <c r="AI13" s="25"/>
    </row>
    <row r="14" spans="2:36" s="2" customFormat="1" ht="14.4" hidden="1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hidden="1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collapsed="1" x14ac:dyDescent="0.3">
      <c r="B16" s="41" t="s">
        <v>3</v>
      </c>
      <c r="C16" s="42"/>
      <c r="D16" s="17"/>
      <c r="E16" s="45" t="s">
        <v>44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RANK(C19,C$19:C$23,0)</f>
        <v>1</v>
      </c>
      <c r="C19" s="17">
        <f>SUMIF($G$12:$AJ$12,1,$G19:$AJ19)</f>
        <v>395</v>
      </c>
      <c r="D19" s="11"/>
      <c r="E19" s="11" t="s">
        <v>126</v>
      </c>
      <c r="F19" s="11"/>
      <c r="G19" s="17">
        <v>42</v>
      </c>
      <c r="H19" s="17">
        <f>RANK(G19,G$19:G$23,0)</f>
        <v>2</v>
      </c>
      <c r="I19" s="17">
        <f>VLOOKUP(H19,'Место-баллы'!$A$3:$B$52,2,0)</f>
        <v>95</v>
      </c>
      <c r="J19" s="9"/>
      <c r="K19" s="29">
        <v>2</v>
      </c>
      <c r="L19" s="29">
        <v>53</v>
      </c>
      <c r="M19" s="30">
        <f>TIME(0,K19,L19)</f>
        <v>2.0023148148148148E-3</v>
      </c>
      <c r="N19" s="29">
        <v>60</v>
      </c>
      <c r="O19" s="29">
        <f>N$13-N19</f>
        <v>0</v>
      </c>
      <c r="P19" s="30">
        <f>M19+TIME(0,0,O19)</f>
        <v>2.0023148148148148E-3</v>
      </c>
      <c r="Q19" s="29">
        <f>RANK(P19,P$19:P$23,1)</f>
        <v>1</v>
      </c>
      <c r="R19" s="29">
        <f>VLOOKUP(Q19,'Место-баллы'!$A$3:$B$52,2,0)</f>
        <v>100</v>
      </c>
      <c r="S19" s="9"/>
      <c r="T19" s="29">
        <v>4</v>
      </c>
      <c r="U19" s="29">
        <v>27</v>
      </c>
      <c r="V19" s="30">
        <f>TIME(0,T19,U19)</f>
        <v>3.0902777777777782E-3</v>
      </c>
      <c r="W19" s="29">
        <v>183</v>
      </c>
      <c r="X19" s="29">
        <f>W$13-W19</f>
        <v>0</v>
      </c>
      <c r="Y19" s="30">
        <f>V19+TIME(0,0,X19)</f>
        <v>3.0902777777777782E-3</v>
      </c>
      <c r="Z19" s="29">
        <f>RANK(Y19,Y$19:Y$23,1)</f>
        <v>1</v>
      </c>
      <c r="AA19" s="29">
        <f>VLOOKUP(Z19,'Место-баллы'!$A$3:$B$52,2,0)</f>
        <v>100</v>
      </c>
      <c r="AB19" s="9"/>
      <c r="AC19" s="29">
        <v>8</v>
      </c>
      <c r="AD19" s="29">
        <v>43</v>
      </c>
      <c r="AE19" s="30">
        <f>TIME(0,AC19,AD19)</f>
        <v>6.053240740740741E-3</v>
      </c>
      <c r="AF19" s="29">
        <v>86</v>
      </c>
      <c r="AG19" s="29">
        <f>AF$13-AF19</f>
        <v>0</v>
      </c>
      <c r="AH19" s="30">
        <f>AE19+TIME(0,0,AG19)</f>
        <v>6.053240740740741E-3</v>
      </c>
      <c r="AI19" s="29">
        <f>RANK(AH19,AH$19:AH$23,1)</f>
        <v>1</v>
      </c>
      <c r="AJ19" s="29">
        <f>VLOOKUP(AI19,'Место-баллы'!$A$3:$B$52,2,0)</f>
        <v>100</v>
      </c>
    </row>
    <row r="20" spans="1:36" ht="14.4" x14ac:dyDescent="0.3">
      <c r="A20" s="8"/>
      <c r="B20" s="17">
        <f>RANK(C20,C$19:C$23,0)</f>
        <v>2</v>
      </c>
      <c r="C20" s="17">
        <f>SUMIF($G$12:$AJ$12,1,$G20:$AJ20)</f>
        <v>365</v>
      </c>
      <c r="D20" s="11"/>
      <c r="E20" s="11" t="s">
        <v>125</v>
      </c>
      <c r="F20" s="11"/>
      <c r="G20" s="17">
        <v>40</v>
      </c>
      <c r="H20" s="17">
        <f>RANK(G20,G$19:G$23,0)</f>
        <v>3</v>
      </c>
      <c r="I20" s="17">
        <f>VLOOKUP(H20,'Место-баллы'!$A$3:$B$52,2,0)</f>
        <v>90</v>
      </c>
      <c r="J20" s="9"/>
      <c r="K20" s="29">
        <v>3</v>
      </c>
      <c r="L20" s="29">
        <v>27</v>
      </c>
      <c r="M20" s="30">
        <f>TIME(0,K20,L20)</f>
        <v>2.3958333333333336E-3</v>
      </c>
      <c r="N20" s="29">
        <v>60</v>
      </c>
      <c r="O20" s="29">
        <f>N$13-N20</f>
        <v>0</v>
      </c>
      <c r="P20" s="30">
        <f>M20+TIME(0,0,O20)</f>
        <v>2.3958333333333336E-3</v>
      </c>
      <c r="Q20" s="29">
        <f>RANK(P20,P$19:P$23,1)</f>
        <v>3</v>
      </c>
      <c r="R20" s="29">
        <f>VLOOKUP(Q20,'Место-баллы'!$A$3:$B$52,2,0)</f>
        <v>90</v>
      </c>
      <c r="S20" s="9"/>
      <c r="T20" s="29">
        <v>5</v>
      </c>
      <c r="U20" s="29">
        <v>59</v>
      </c>
      <c r="V20" s="30">
        <f>TIME(0,T20,U20)</f>
        <v>4.155092592592593E-3</v>
      </c>
      <c r="W20" s="29">
        <v>183</v>
      </c>
      <c r="X20" s="29">
        <f>W$13-W20</f>
        <v>0</v>
      </c>
      <c r="Y20" s="30">
        <f>V20+TIME(0,0,X20)</f>
        <v>4.155092592592593E-3</v>
      </c>
      <c r="Z20" s="29">
        <f>RANK(Y20,Y$19:Y$23,1)</f>
        <v>3</v>
      </c>
      <c r="AA20" s="29">
        <f>VLOOKUP(Z20,'Место-баллы'!$A$3:$B$52,2,0)</f>
        <v>90</v>
      </c>
      <c r="AB20" s="9"/>
      <c r="AC20" s="29">
        <v>9</v>
      </c>
      <c r="AD20" s="29">
        <v>53</v>
      </c>
      <c r="AE20" s="30">
        <f>TIME(0,AC20,AD20)</f>
        <v>6.8634259259259256E-3</v>
      </c>
      <c r="AF20" s="29">
        <v>86</v>
      </c>
      <c r="AG20" s="29">
        <f>AF$13-AF20</f>
        <v>0</v>
      </c>
      <c r="AH20" s="30">
        <f>AE20+TIME(0,0,AG20)</f>
        <v>6.8634259259259256E-3</v>
      </c>
      <c r="AI20" s="29">
        <f>RANK(AH20,AH$19:AH$23,1)</f>
        <v>2</v>
      </c>
      <c r="AJ20" s="29">
        <f>VLOOKUP(AI20,'Место-баллы'!$A$3:$B$52,2,0)</f>
        <v>95</v>
      </c>
    </row>
    <row r="21" spans="1:36" ht="14.4" x14ac:dyDescent="0.3">
      <c r="A21" s="8"/>
      <c r="B21" s="17">
        <v>3</v>
      </c>
      <c r="C21" s="17">
        <f>SUMIF($G$12:$AJ$12,1,$G21:$AJ21)</f>
        <v>365</v>
      </c>
      <c r="D21" s="11"/>
      <c r="E21" s="11" t="s">
        <v>127</v>
      </c>
      <c r="F21" s="11"/>
      <c r="G21" s="17">
        <v>35</v>
      </c>
      <c r="H21" s="17">
        <f>RANK(G21,G$19:G$23,0)</f>
        <v>4</v>
      </c>
      <c r="I21" s="17">
        <f>VLOOKUP(H21,'Место-баллы'!$A$3:$B$52,2,0)</f>
        <v>85</v>
      </c>
      <c r="J21" s="9"/>
      <c r="K21" s="29">
        <v>3</v>
      </c>
      <c r="L21" s="29">
        <v>14</v>
      </c>
      <c r="M21" s="30">
        <f>TIME(0,K21,L21)</f>
        <v>2.2453703703703702E-3</v>
      </c>
      <c r="N21" s="29">
        <v>60</v>
      </c>
      <c r="O21" s="29">
        <f>N$13-N21</f>
        <v>0</v>
      </c>
      <c r="P21" s="30">
        <f>M21+TIME(0,0,O21)</f>
        <v>2.2453703703703702E-3</v>
      </c>
      <c r="Q21" s="29">
        <f>RANK(P21,P$19:P$23,1)</f>
        <v>2</v>
      </c>
      <c r="R21" s="29">
        <f>VLOOKUP(Q21,'Место-баллы'!$A$3:$B$52,2,0)</f>
        <v>95</v>
      </c>
      <c r="S21" s="9"/>
      <c r="T21" s="29">
        <v>5</v>
      </c>
      <c r="U21" s="29">
        <v>39</v>
      </c>
      <c r="V21" s="30">
        <f>TIME(0,T21,U21)</f>
        <v>3.9236111111111112E-3</v>
      </c>
      <c r="W21" s="29">
        <v>183</v>
      </c>
      <c r="X21" s="29">
        <f>W$13-W21</f>
        <v>0</v>
      </c>
      <c r="Y21" s="30">
        <f>V21+TIME(0,0,X21)</f>
        <v>3.9236111111111112E-3</v>
      </c>
      <c r="Z21" s="29">
        <f>RANK(Y21,Y$19:Y$23,1)</f>
        <v>2</v>
      </c>
      <c r="AA21" s="29">
        <f>VLOOKUP(Z21,'Место-баллы'!$A$3:$B$52,2,0)</f>
        <v>95</v>
      </c>
      <c r="AB21" s="9"/>
      <c r="AC21" s="29">
        <v>12</v>
      </c>
      <c r="AD21" s="29">
        <v>5</v>
      </c>
      <c r="AE21" s="30">
        <f>TIME(0,AC21,AD21)</f>
        <v>8.3912037037037045E-3</v>
      </c>
      <c r="AF21" s="29">
        <v>82</v>
      </c>
      <c r="AG21" s="29">
        <f>AF$13-AF21</f>
        <v>4</v>
      </c>
      <c r="AH21" s="30">
        <f>AE21+TIME(0,0,AG21)</f>
        <v>8.4375000000000006E-3</v>
      </c>
      <c r="AI21" s="29">
        <f>RANK(AH21,AH$19:AH$23,1)</f>
        <v>3</v>
      </c>
      <c r="AJ21" s="29">
        <f>VLOOKUP(AI21,'Место-баллы'!$A$3:$B$52,2,0)</f>
        <v>90</v>
      </c>
    </row>
    <row r="22" spans="1:36" ht="14.4" x14ac:dyDescent="0.3">
      <c r="A22" s="8"/>
      <c r="B22" s="17">
        <f>RANK(C22,C$19:C$23,0)</f>
        <v>4</v>
      </c>
      <c r="C22" s="17">
        <f>SUMIF($G$12:$AJ$12,1,$G22:$AJ22)</f>
        <v>355</v>
      </c>
      <c r="D22" s="11"/>
      <c r="E22" s="11" t="s">
        <v>123</v>
      </c>
      <c r="F22" s="11"/>
      <c r="G22" s="17">
        <v>45</v>
      </c>
      <c r="H22" s="17">
        <f>RANK(G22,G$19:G$23,0)</f>
        <v>1</v>
      </c>
      <c r="I22" s="17">
        <f>VLOOKUP(H22,'Место-баллы'!$A$3:$B$52,2,0)</f>
        <v>100</v>
      </c>
      <c r="J22" s="9"/>
      <c r="K22" s="29">
        <v>3</v>
      </c>
      <c r="L22" s="29">
        <v>52</v>
      </c>
      <c r="M22" s="30">
        <f>TIME(0,K22,L22)</f>
        <v>2.685185185185185E-3</v>
      </c>
      <c r="N22" s="29">
        <v>60</v>
      </c>
      <c r="O22" s="29">
        <f>N$13-N22</f>
        <v>0</v>
      </c>
      <c r="P22" s="30">
        <f>M22+TIME(0,0,O22)</f>
        <v>2.685185185185185E-3</v>
      </c>
      <c r="Q22" s="29">
        <f>RANK(P22,P$19:P$23,1)</f>
        <v>4</v>
      </c>
      <c r="R22" s="29">
        <f>VLOOKUP(Q22,'Место-баллы'!$A$3:$B$52,2,0)</f>
        <v>85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v>0</v>
      </c>
      <c r="X22" s="29">
        <f>W$13-W22</f>
        <v>183</v>
      </c>
      <c r="Y22" s="30">
        <f>V22+TIME(0,0,X22)</f>
        <v>7.7314814814814824E-3</v>
      </c>
      <c r="Z22" s="29">
        <f>RANK(Y22,Y$19:Y$23,1)</f>
        <v>5</v>
      </c>
      <c r="AA22" s="29">
        <f>VLOOKUP(Z22,'Место-баллы'!$A$3:$B$52,2,0)</f>
        <v>80</v>
      </c>
      <c r="AB22" s="9"/>
      <c r="AC22" s="29">
        <v>12</v>
      </c>
      <c r="AD22" s="29">
        <v>5</v>
      </c>
      <c r="AE22" s="30">
        <f>TIME(0,AC22,AD22)</f>
        <v>8.3912037037037045E-3</v>
      </c>
      <c r="AF22" s="29">
        <v>82</v>
      </c>
      <c r="AG22" s="29">
        <f>AF$13-AF22</f>
        <v>4</v>
      </c>
      <c r="AH22" s="30">
        <f>AE22+TIME(0,0,AG22)</f>
        <v>8.4375000000000006E-3</v>
      </c>
      <c r="AI22" s="29">
        <f>RANK(AH22,AH$19:AH$23,1)</f>
        <v>3</v>
      </c>
      <c r="AJ22" s="29">
        <f>VLOOKUP(AI22,'Место-баллы'!$A$3:$B$52,2,0)</f>
        <v>90</v>
      </c>
    </row>
    <row r="23" spans="1:36" ht="14.4" x14ac:dyDescent="0.3">
      <c r="A23" s="8"/>
      <c r="B23" s="17">
        <f>RANK(C23,C$19:C$23,0)</f>
        <v>5</v>
      </c>
      <c r="C23" s="17">
        <f>SUMIF($G$12:$AJ$12,1,$G23:$AJ23)</f>
        <v>325</v>
      </c>
      <c r="D23" s="11"/>
      <c r="E23" s="11" t="s">
        <v>124</v>
      </c>
      <c r="F23" s="11"/>
      <c r="G23" s="17">
        <v>28</v>
      </c>
      <c r="H23" s="17">
        <f>RANK(G23,G$19:G$23,0)</f>
        <v>5</v>
      </c>
      <c r="I23" s="17">
        <f>VLOOKUP(H23,'Место-баллы'!$A$3:$B$52,2,0)</f>
        <v>80</v>
      </c>
      <c r="J23" s="9"/>
      <c r="K23" s="29">
        <v>10</v>
      </c>
      <c r="L23" s="29">
        <v>5</v>
      </c>
      <c r="M23" s="30">
        <f>TIME(0,K23,L23)</f>
        <v>7.0023148148148154E-3</v>
      </c>
      <c r="N23" s="29">
        <v>60</v>
      </c>
      <c r="O23" s="29">
        <f>N$13-N23</f>
        <v>0</v>
      </c>
      <c r="P23" s="30">
        <f>M23+TIME(0,0,O23)</f>
        <v>7.0023148148148154E-3</v>
      </c>
      <c r="Q23" s="29">
        <f>RANK(P23,P$19:P$23,1)</f>
        <v>5</v>
      </c>
      <c r="R23" s="29">
        <f>VLOOKUP(Q23,'Место-баллы'!$A$3:$B$52,2,0)</f>
        <v>80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v>61</v>
      </c>
      <c r="X23" s="29">
        <f>W$13-W23</f>
        <v>122</v>
      </c>
      <c r="Y23" s="30">
        <f>V23+TIME(0,0,X23)</f>
        <v>7.0254629629629643E-3</v>
      </c>
      <c r="Z23" s="29">
        <f>RANK(Y23,Y$19:Y$23,1)</f>
        <v>4</v>
      </c>
      <c r="AA23" s="29">
        <f>VLOOKUP(Z23,'Место-баллы'!$A$3:$B$52,2,0)</f>
        <v>85</v>
      </c>
      <c r="AB23" s="9"/>
      <c r="AC23" s="29">
        <v>12</v>
      </c>
      <c r="AD23" s="29">
        <v>5</v>
      </c>
      <c r="AE23" s="30">
        <f>TIME(0,AC23,AD23)</f>
        <v>8.3912037037037045E-3</v>
      </c>
      <c r="AF23" s="29">
        <v>54</v>
      </c>
      <c r="AG23" s="29">
        <f>AF$13-AF23</f>
        <v>32</v>
      </c>
      <c r="AH23" s="30">
        <f>AE23+TIME(0,0,AG23)</f>
        <v>8.7615740740740744E-3</v>
      </c>
      <c r="AI23" s="29">
        <f>RANK(AH23,AH$19:AH$23,1)</f>
        <v>5</v>
      </c>
      <c r="AJ23" s="29">
        <f>VLOOKUP(AI23,'Место-баллы'!$A$3:$B$52,2,0)</f>
        <v>80</v>
      </c>
    </row>
    <row r="24" spans="1:36" ht="15.75" customHeight="1" x14ac:dyDescent="0.3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5.75" customHeight="1" x14ac:dyDescent="0.3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5.75" customHeight="1" outlineLevel="1" x14ac:dyDescent="0.35">
      <c r="A26" s="8"/>
      <c r="B26" s="22" t="s">
        <v>19</v>
      </c>
      <c r="C26" s="22"/>
      <c r="D26" s="22"/>
      <c r="E26" s="22"/>
      <c r="F26" s="22"/>
      <c r="G26" s="22"/>
      <c r="H26" s="22"/>
      <c r="I26" s="2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5.75" customHeight="1" outlineLevel="1" x14ac:dyDescent="0.3">
      <c r="B27" s="23"/>
      <c r="C27" s="23"/>
      <c r="D27" s="23"/>
      <c r="E27" s="2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5.75" customHeight="1" outlineLevel="1" x14ac:dyDescent="0.35">
      <c r="B28" s="22" t="s">
        <v>20</v>
      </c>
      <c r="C28" s="22"/>
      <c r="D28" s="22"/>
      <c r="E28" s="22"/>
      <c r="F28" s="22"/>
      <c r="G28" s="22"/>
      <c r="H28" s="2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.75" customHeight="1" x14ac:dyDescent="0.3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5.75" customHeight="1" x14ac:dyDescent="0.3"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5.75" customHeight="1" x14ac:dyDescent="0.3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x14ac:dyDescent="0.3"/>
    <row r="33" spans="10:36" ht="15.75" customHeight="1" x14ac:dyDescent="0.3"/>
    <row r="34" spans="10:36" ht="15.75" customHeight="1" x14ac:dyDescent="0.3"/>
    <row r="35" spans="10:36" ht="15.75" customHeight="1" x14ac:dyDescent="0.3"/>
    <row r="36" spans="10:36" ht="15.75" customHeight="1" x14ac:dyDescent="0.3"/>
    <row r="37" spans="10:36" ht="15.75" customHeight="1" x14ac:dyDescent="0.3"/>
    <row r="38" spans="10:36" ht="15.75" customHeight="1" x14ac:dyDescent="0.3"/>
    <row r="39" spans="10:36" ht="15.75" customHeight="1" x14ac:dyDescent="0.3"/>
    <row r="40" spans="10:36" ht="15.75" customHeight="1" x14ac:dyDescent="0.3"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0:36" ht="15.75" customHeight="1" x14ac:dyDescent="0.3"/>
    <row r="42" spans="10:36" ht="15.75" customHeight="1" x14ac:dyDescent="0.3"/>
    <row r="43" spans="10:36" ht="15.75" customHeight="1" x14ac:dyDescent="0.3"/>
    <row r="44" spans="10:36" ht="15.75" customHeight="1" x14ac:dyDescent="0.3"/>
    <row r="45" spans="10:36" ht="15.75" customHeight="1" x14ac:dyDescent="0.3"/>
    <row r="46" spans="10:36" ht="15.75" customHeight="1" x14ac:dyDescent="0.3"/>
    <row r="47" spans="10:36" ht="15.75" customHeight="1" x14ac:dyDescent="0.3"/>
    <row r="48" spans="10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</sheetData>
  <autoFilter ref="B18:AJ18" xr:uid="{00000000-0009-0000-0000-000007000000}">
    <sortState xmlns:xlrd2="http://schemas.microsoft.com/office/spreadsheetml/2017/richdata2" ref="B19:AJ23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94"/>
  <sheetViews>
    <sheetView tabSelected="1" topLeftCell="A11" workbookViewId="0">
      <selection activeCell="B16" sqref="B16:AJ30"/>
    </sheetView>
  </sheetViews>
  <sheetFormatPr defaultColWidth="14.44140625" defaultRowHeight="15" customHeight="1" outlineLevelRow="1" outlineLevelCol="1" x14ac:dyDescent="0.3"/>
  <cols>
    <col min="1" max="1" width="8.6640625" customWidth="1"/>
    <col min="2" max="2" width="9.77734375" customWidth="1"/>
    <col min="3" max="3" width="7.44140625" customWidth="1"/>
    <col min="4" max="4" width="1.44140625" customWidth="1"/>
    <col min="5" max="5" width="20" bestFit="1" customWidth="1"/>
    <col min="6" max="6" width="1.44140625" customWidth="1"/>
    <col min="7" max="7" width="5.44140625" customWidth="1"/>
    <col min="8" max="8" width="7.109375" customWidth="1"/>
    <col min="9" max="9" width="6.77734375" customWidth="1"/>
    <col min="10" max="10" width="1.44140625" style="24" customWidth="1"/>
    <col min="11" max="11" width="5.109375" style="24" hidden="1" customWidth="1" outlineLevel="1"/>
    <col min="12" max="12" width="4.33203125" style="24" hidden="1" customWidth="1" outlineLevel="1"/>
    <col min="13" max="13" width="7.6640625" style="24" bestFit="1" customWidth="1" collapsed="1"/>
    <col min="14" max="14" width="6.77734375" style="24" customWidth="1"/>
    <col min="15" max="15" width="7.77734375" style="24" hidden="1" customWidth="1" outlineLevel="1"/>
    <col min="16" max="16" width="7.109375" style="24" hidden="1" customWidth="1" outlineLevel="1"/>
    <col min="17" max="17" width="7.109375" style="24" bestFit="1" customWidth="1" collapsed="1"/>
    <col min="18" max="18" width="6.77734375" style="24" bestFit="1" customWidth="1"/>
    <col min="19" max="19" width="1.44140625" style="24" customWidth="1"/>
    <col min="20" max="20" width="5.109375" style="24" hidden="1" customWidth="1" outlineLevel="1"/>
    <col min="21" max="21" width="4.33203125" style="24" hidden="1" customWidth="1" outlineLevel="1"/>
    <col min="22" max="22" width="7.6640625" style="24" bestFit="1" customWidth="1" collapsed="1"/>
    <col min="23" max="23" width="6.77734375" style="24" customWidth="1"/>
    <col min="24" max="24" width="7.77734375" style="24" hidden="1" customWidth="1" outlineLevel="1"/>
    <col min="25" max="25" width="7.109375" style="24" hidden="1" customWidth="1" outlineLevel="1"/>
    <col min="26" max="26" width="7.109375" style="24" bestFit="1" customWidth="1" collapsed="1"/>
    <col min="27" max="27" width="6.77734375" style="24" bestFit="1" customWidth="1"/>
    <col min="28" max="28" width="1.44140625" style="24" customWidth="1"/>
    <col min="29" max="29" width="5.109375" style="24" hidden="1" customWidth="1" outlineLevel="1"/>
    <col min="30" max="30" width="4.33203125" style="24" hidden="1" customWidth="1" outlineLevel="1"/>
    <col min="31" max="31" width="7.6640625" style="24" bestFit="1" customWidth="1" collapsed="1"/>
    <col min="32" max="32" width="6.77734375" style="24" customWidth="1"/>
    <col min="33" max="33" width="7.77734375" style="24" hidden="1" customWidth="1" outlineLevel="1"/>
    <col min="34" max="34" width="7.109375" style="24" hidden="1" customWidth="1" outlineLevel="1"/>
    <col min="35" max="35" width="7.109375" style="24" bestFit="1" customWidth="1" collapsed="1"/>
    <col min="36" max="36" width="6.77734375" style="24" bestFit="1" customWidth="1"/>
  </cols>
  <sheetData>
    <row r="1" spans="2:36" ht="15" customHeight="1" outlineLevel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2:36" ht="15" customHeight="1" outlineLevel="1" x14ac:dyDescent="0.3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36" ht="15" customHeight="1" outlineLevel="1" x14ac:dyDescent="0.3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2:36" ht="15" customHeight="1" outlineLevel="1" x14ac:dyDescent="0.3"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2:36" ht="15" customHeight="1" outlineLevel="1" x14ac:dyDescent="0.3">
      <c r="B5" s="12"/>
      <c r="C5" s="12"/>
      <c r="D5" s="12"/>
      <c r="E5" s="12"/>
      <c r="F5" s="12"/>
      <c r="G5" s="12"/>
      <c r="H5" s="12"/>
      <c r="I5" s="12"/>
    </row>
    <row r="6" spans="2:36" ht="18.75" customHeight="1" outlineLevel="1" x14ac:dyDescent="0.3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8.75" customHeight="1" outlineLevel="1" x14ac:dyDescent="0.3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2:36" ht="18.75" customHeight="1" outlineLevel="1" x14ac:dyDescent="0.3">
      <c r="B8" s="39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2:36" ht="15" customHeight="1" outlineLevel="1" x14ac:dyDescent="0.35">
      <c r="B9" s="12"/>
      <c r="C9" s="12"/>
      <c r="D9" s="12"/>
      <c r="E9" s="12"/>
      <c r="F9" s="12"/>
      <c r="G9" s="12"/>
      <c r="H9" s="12"/>
      <c r="I9" s="13"/>
    </row>
    <row r="10" spans="2:36" ht="25.5" customHeight="1" outlineLevel="1" x14ac:dyDescent="0.3"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36" ht="15" customHeight="1" x14ac:dyDescent="0.3">
      <c r="B11" s="12"/>
      <c r="C11" s="12"/>
      <c r="D11" s="12"/>
      <c r="E11" s="12"/>
      <c r="F11" s="12"/>
      <c r="G11" s="12"/>
      <c r="H11" s="12"/>
      <c r="I11" s="12"/>
    </row>
    <row r="12" spans="2:36" ht="14.4" outlineLevel="1" x14ac:dyDescent="0.3">
      <c r="B12" s="12"/>
      <c r="C12" s="12"/>
      <c r="D12" s="12"/>
      <c r="E12" s="14"/>
      <c r="F12" s="12"/>
      <c r="G12" s="15"/>
      <c r="H12" s="15"/>
      <c r="I12" s="16">
        <v>1</v>
      </c>
      <c r="K12" s="25"/>
      <c r="L12" s="25"/>
      <c r="O12" s="25"/>
      <c r="P12" s="3"/>
      <c r="R12" s="4">
        <v>1</v>
      </c>
      <c r="T12" s="25"/>
      <c r="U12" s="25"/>
      <c r="X12" s="25"/>
      <c r="Y12" s="3"/>
      <c r="AA12" s="4">
        <v>1</v>
      </c>
      <c r="AC12" s="25"/>
      <c r="AD12" s="25"/>
      <c r="AG12" s="25"/>
      <c r="AH12" s="3"/>
      <c r="AJ12" s="4">
        <v>1</v>
      </c>
    </row>
    <row r="13" spans="2:36" ht="14.4" outlineLevel="1" x14ac:dyDescent="0.3">
      <c r="B13" s="12"/>
      <c r="C13" s="12"/>
      <c r="D13" s="12"/>
      <c r="E13" s="14"/>
      <c r="F13" s="12"/>
      <c r="G13" s="15"/>
      <c r="H13" s="15"/>
      <c r="I13" s="15"/>
      <c r="K13" s="25"/>
      <c r="L13" s="25"/>
      <c r="M13" s="25"/>
      <c r="N13" s="26">
        <f>30+20+10</f>
        <v>60</v>
      </c>
      <c r="O13" s="25"/>
      <c r="P13" s="25"/>
      <c r="Q13" s="25"/>
      <c r="T13" s="25"/>
      <c r="U13" s="25"/>
      <c r="V13" s="25"/>
      <c r="W13" s="26">
        <f>3*(2+15+100)</f>
        <v>351</v>
      </c>
      <c r="X13" s="25"/>
      <c r="Y13" s="25"/>
      <c r="Z13" s="25"/>
      <c r="AC13" s="25"/>
      <c r="AD13" s="25"/>
      <c r="AE13" s="25"/>
      <c r="AF13" s="33">
        <f>30+2+30+2+30+2</f>
        <v>96</v>
      </c>
      <c r="AG13" s="25"/>
      <c r="AH13" s="25"/>
      <c r="AI13" s="25"/>
    </row>
    <row r="14" spans="2:36" s="2" customFormat="1" ht="14.4" outlineLevel="1" x14ac:dyDescent="0.3">
      <c r="B14" s="15"/>
      <c r="C14" s="15"/>
      <c r="D14" s="15"/>
      <c r="E14" s="32"/>
      <c r="F14" s="15"/>
      <c r="G14" s="15"/>
      <c r="H14" s="15"/>
      <c r="I14" s="15"/>
      <c r="J14" s="25"/>
      <c r="K14" s="3"/>
      <c r="L14" s="25"/>
      <c r="M14" s="25"/>
      <c r="N14" s="3" t="s">
        <v>27</v>
      </c>
      <c r="O14" s="25"/>
      <c r="P14" s="25"/>
      <c r="Q14" s="25"/>
      <c r="R14" s="25"/>
      <c r="S14" s="25"/>
      <c r="T14" s="3"/>
      <c r="U14" s="25"/>
      <c r="V14" s="25"/>
      <c r="W14" s="3" t="s">
        <v>29</v>
      </c>
      <c r="X14" s="25"/>
      <c r="Y14" s="25"/>
      <c r="Z14" s="25"/>
      <c r="AA14" s="25"/>
      <c r="AB14" s="25"/>
      <c r="AC14" s="3"/>
      <c r="AD14" s="25"/>
      <c r="AE14" s="25"/>
      <c r="AF14" s="3" t="s">
        <v>30</v>
      </c>
      <c r="AG14" s="25"/>
      <c r="AH14" s="25"/>
      <c r="AI14" s="25"/>
      <c r="AJ14" s="25"/>
    </row>
    <row r="15" spans="2:36" ht="14.4" outlineLevel="1" x14ac:dyDescent="0.3">
      <c r="B15" s="12"/>
      <c r="C15" s="12"/>
      <c r="D15" s="12"/>
      <c r="E15" s="12"/>
      <c r="F15" s="12"/>
      <c r="G15" s="15"/>
      <c r="H15" s="15"/>
      <c r="I15" s="15"/>
      <c r="K15" s="25"/>
      <c r="L15" s="25"/>
      <c r="M15" s="25"/>
      <c r="O15" s="25"/>
      <c r="P15" s="25"/>
      <c r="Q15" s="25"/>
      <c r="T15" s="25"/>
      <c r="U15" s="25"/>
      <c r="V15" s="25"/>
      <c r="X15" s="25"/>
      <c r="Y15" s="25"/>
      <c r="Z15" s="25"/>
      <c r="AC15" s="25"/>
      <c r="AD15" s="25"/>
      <c r="AE15" s="25"/>
      <c r="AG15" s="25"/>
      <c r="AH15" s="25"/>
      <c r="AI15" s="25"/>
    </row>
    <row r="16" spans="2:36" ht="15" customHeight="1" x14ac:dyDescent="0.3">
      <c r="B16" s="41" t="s">
        <v>3</v>
      </c>
      <c r="C16" s="42"/>
      <c r="D16" s="17"/>
      <c r="E16" s="45" t="s">
        <v>46</v>
      </c>
      <c r="F16" s="17"/>
      <c r="G16" s="41" t="s">
        <v>22</v>
      </c>
      <c r="H16" s="47"/>
      <c r="I16" s="42"/>
      <c r="J16" s="27"/>
      <c r="K16" s="49" t="s">
        <v>21</v>
      </c>
      <c r="L16" s="49"/>
      <c r="M16" s="49"/>
      <c r="N16" s="49"/>
      <c r="O16" s="49"/>
      <c r="P16" s="49"/>
      <c r="Q16" s="49"/>
      <c r="R16" s="49"/>
      <c r="S16" s="27"/>
      <c r="T16" s="49" t="s">
        <v>28</v>
      </c>
      <c r="U16" s="49"/>
      <c r="V16" s="49"/>
      <c r="W16" s="49"/>
      <c r="X16" s="49"/>
      <c r="Y16" s="49"/>
      <c r="Z16" s="49"/>
      <c r="AA16" s="49"/>
      <c r="AB16" s="27"/>
      <c r="AC16" s="49" t="s">
        <v>4</v>
      </c>
      <c r="AD16" s="49"/>
      <c r="AE16" s="49"/>
      <c r="AF16" s="49"/>
      <c r="AG16" s="49"/>
      <c r="AH16" s="49"/>
      <c r="AI16" s="49"/>
      <c r="AJ16" s="49"/>
    </row>
    <row r="17" spans="1:36" ht="14.4" x14ac:dyDescent="0.3">
      <c r="B17" s="43"/>
      <c r="C17" s="44"/>
      <c r="D17" s="18"/>
      <c r="E17" s="46"/>
      <c r="F17" s="18"/>
      <c r="G17" s="43"/>
      <c r="H17" s="48"/>
      <c r="I17" s="44"/>
      <c r="J17" s="28"/>
      <c r="K17" s="49"/>
      <c r="L17" s="49"/>
      <c r="M17" s="49"/>
      <c r="N17" s="49"/>
      <c r="O17" s="49"/>
      <c r="P17" s="49"/>
      <c r="Q17" s="49"/>
      <c r="R17" s="49"/>
      <c r="S17" s="28"/>
      <c r="T17" s="49"/>
      <c r="U17" s="49"/>
      <c r="V17" s="49"/>
      <c r="W17" s="49"/>
      <c r="X17" s="49"/>
      <c r="Y17" s="49"/>
      <c r="Z17" s="49"/>
      <c r="AA17" s="49"/>
      <c r="AB17" s="28"/>
      <c r="AC17" s="49"/>
      <c r="AD17" s="49"/>
      <c r="AE17" s="49"/>
      <c r="AF17" s="49"/>
      <c r="AG17" s="49"/>
      <c r="AH17" s="49"/>
      <c r="AI17" s="49"/>
      <c r="AJ17" s="49"/>
    </row>
    <row r="18" spans="1:36" ht="41.4" x14ac:dyDescent="0.3">
      <c r="A18" s="8"/>
      <c r="B18" s="19" t="s">
        <v>5</v>
      </c>
      <c r="C18" s="19" t="s">
        <v>6</v>
      </c>
      <c r="D18" s="20"/>
      <c r="E18" s="7" t="s">
        <v>7</v>
      </c>
      <c r="F18" s="20"/>
      <c r="G18" s="21" t="s">
        <v>26</v>
      </c>
      <c r="H18" s="21" t="s">
        <v>11</v>
      </c>
      <c r="I18" s="21" t="s">
        <v>12</v>
      </c>
      <c r="J18" s="10"/>
      <c r="K18" s="5" t="s">
        <v>8</v>
      </c>
      <c r="L18" s="5" t="s">
        <v>9</v>
      </c>
      <c r="M18" s="5" t="s">
        <v>10</v>
      </c>
      <c r="N18" s="6" t="s">
        <v>13</v>
      </c>
      <c r="O18" s="5" t="s">
        <v>14</v>
      </c>
      <c r="P18" s="5" t="s">
        <v>10</v>
      </c>
      <c r="Q18" s="5" t="s">
        <v>11</v>
      </c>
      <c r="R18" s="5" t="s">
        <v>12</v>
      </c>
      <c r="S18" s="10"/>
      <c r="T18" s="5" t="s">
        <v>8</v>
      </c>
      <c r="U18" s="5" t="s">
        <v>9</v>
      </c>
      <c r="V18" s="5" t="s">
        <v>10</v>
      </c>
      <c r="W18" s="6" t="s">
        <v>13</v>
      </c>
      <c r="X18" s="5" t="s">
        <v>14</v>
      </c>
      <c r="Y18" s="5" t="s">
        <v>10</v>
      </c>
      <c r="Z18" s="5" t="s">
        <v>11</v>
      </c>
      <c r="AA18" s="5" t="s">
        <v>12</v>
      </c>
      <c r="AB18" s="10"/>
      <c r="AC18" s="5" t="s">
        <v>8</v>
      </c>
      <c r="AD18" s="5" t="s">
        <v>9</v>
      </c>
      <c r="AE18" s="5" t="s">
        <v>10</v>
      </c>
      <c r="AF18" s="6" t="s">
        <v>13</v>
      </c>
      <c r="AG18" s="5" t="s">
        <v>14</v>
      </c>
      <c r="AH18" s="5" t="s">
        <v>10</v>
      </c>
      <c r="AI18" s="5" t="s">
        <v>11</v>
      </c>
      <c r="AJ18" s="5" t="s">
        <v>12</v>
      </c>
    </row>
    <row r="19" spans="1:36" ht="14.4" x14ac:dyDescent="0.3">
      <c r="A19" s="8"/>
      <c r="B19" s="17">
        <f>RANK(C19,C$19:C$30,0)</f>
        <v>1</v>
      </c>
      <c r="C19" s="17">
        <f>SUMIF($G$12:$AJ$12,1,$G19:$AJ19)</f>
        <v>375</v>
      </c>
      <c r="D19" s="11"/>
      <c r="E19" s="11" t="s">
        <v>135</v>
      </c>
      <c r="F19" s="11"/>
      <c r="G19" s="17">
        <v>75</v>
      </c>
      <c r="H19" s="17">
        <f>RANK(G19,G$19:G$30,0)</f>
        <v>5</v>
      </c>
      <c r="I19" s="17">
        <f>VLOOKUP(H19,'Место-баллы'!$A$3:$B$52,2,0)</f>
        <v>80</v>
      </c>
      <c r="J19" s="9"/>
      <c r="K19" s="29">
        <v>3</v>
      </c>
      <c r="L19" s="29">
        <v>1</v>
      </c>
      <c r="M19" s="30">
        <f>TIME(0,K19,L19)</f>
        <v>2.0949074074074073E-3</v>
      </c>
      <c r="N19" s="29">
        <v>60</v>
      </c>
      <c r="O19" s="29">
        <f>N$13-N19</f>
        <v>0</v>
      </c>
      <c r="P19" s="30">
        <f>M19+TIME(0,0,O19)</f>
        <v>2.0949074074074073E-3</v>
      </c>
      <c r="Q19" s="29">
        <f>RANK(P19,P$19:P$30,1)</f>
        <v>1</v>
      </c>
      <c r="R19" s="29">
        <f>VLOOKUP(Q19,'Место-баллы'!$A$3:$B$52,2,0)</f>
        <v>100</v>
      </c>
      <c r="S19" s="9"/>
      <c r="T19" s="29">
        <v>7</v>
      </c>
      <c r="U19" s="29">
        <v>15</v>
      </c>
      <c r="V19" s="30">
        <f>TIME(0,T19,U19)</f>
        <v>5.0347222222222225E-3</v>
      </c>
      <c r="W19" s="29">
        <v>351</v>
      </c>
      <c r="X19" s="29">
        <f>W$13-W19</f>
        <v>0</v>
      </c>
      <c r="Y19" s="30">
        <f>V19+TIME(0,0,X19)</f>
        <v>5.0347222222222225E-3</v>
      </c>
      <c r="Z19" s="29">
        <f>RANK(Y19,Y$19:Y$30,1)</f>
        <v>1</v>
      </c>
      <c r="AA19" s="29">
        <f>VLOOKUP(Z19,'Место-баллы'!$A$3:$B$52,2,0)</f>
        <v>100</v>
      </c>
      <c r="AB19" s="9"/>
      <c r="AC19" s="29">
        <v>7</v>
      </c>
      <c r="AD19" s="29">
        <v>18</v>
      </c>
      <c r="AE19" s="30">
        <f>TIME(0,AC19,AD19)</f>
        <v>5.0694444444444441E-3</v>
      </c>
      <c r="AF19" s="29">
        <v>96</v>
      </c>
      <c r="AG19" s="29">
        <f>AF$13-AF19</f>
        <v>0</v>
      </c>
      <c r="AH19" s="30">
        <f>AE19+TIME(0,0,AG19)</f>
        <v>5.0694444444444441E-3</v>
      </c>
      <c r="AI19" s="29">
        <f>RANK(AH19,AH$19:AH$30,1)</f>
        <v>2</v>
      </c>
      <c r="AJ19" s="29">
        <f>VLOOKUP(AI19,'Место-баллы'!$A$3:$B$52,2,0)</f>
        <v>95</v>
      </c>
    </row>
    <row r="20" spans="1:36" ht="14.4" x14ac:dyDescent="0.3">
      <c r="A20" s="8"/>
      <c r="B20" s="17">
        <f>RANK(C20,C$19:C$30,0)</f>
        <v>2</v>
      </c>
      <c r="C20" s="17">
        <f>SUMIF($G$12:$AJ$12,1,$G20:$AJ20)</f>
        <v>360</v>
      </c>
      <c r="D20" s="11"/>
      <c r="E20" s="11" t="s">
        <v>136</v>
      </c>
      <c r="F20" s="11"/>
      <c r="G20" s="17">
        <v>85</v>
      </c>
      <c r="H20" s="17">
        <f>RANK(G20,G$19:G$30,0)</f>
        <v>1</v>
      </c>
      <c r="I20" s="17">
        <f>VLOOKUP(H20,'Место-баллы'!$A$3:$B$52,2,0)</f>
        <v>100</v>
      </c>
      <c r="J20" s="9"/>
      <c r="K20" s="29">
        <v>3</v>
      </c>
      <c r="L20" s="29">
        <v>2</v>
      </c>
      <c r="M20" s="30">
        <f>TIME(0,K20,L20)</f>
        <v>2.1064814814814813E-3</v>
      </c>
      <c r="N20" s="29">
        <v>60</v>
      </c>
      <c r="O20" s="29">
        <f>N$13-N20</f>
        <v>0</v>
      </c>
      <c r="P20" s="30">
        <f>M20+TIME(0,0,O20)</f>
        <v>2.1064814814814813E-3</v>
      </c>
      <c r="Q20" s="29">
        <f>RANK(P20,P$19:P$30,1)</f>
        <v>2</v>
      </c>
      <c r="R20" s="29">
        <f>VLOOKUP(Q20,'Место-баллы'!$A$3:$B$52,2,0)</f>
        <v>95</v>
      </c>
      <c r="S20" s="9"/>
      <c r="T20" s="29">
        <v>8</v>
      </c>
      <c r="U20" s="29">
        <v>5</v>
      </c>
      <c r="V20" s="30">
        <f>TIME(0,T20,U20)</f>
        <v>5.6134259259259271E-3</v>
      </c>
      <c r="W20" s="29">
        <f>236+9</f>
        <v>245</v>
      </c>
      <c r="X20" s="29">
        <f>W$13-W20</f>
        <v>106</v>
      </c>
      <c r="Y20" s="30">
        <f>V20+TIME(0,0,X20)</f>
        <v>6.8402777777777785E-3</v>
      </c>
      <c r="Z20" s="29">
        <f>RANK(Y20,Y$19:Y$30,1)</f>
        <v>3</v>
      </c>
      <c r="AA20" s="29">
        <f>VLOOKUP(Z20,'Место-баллы'!$A$3:$B$52,2,0)</f>
        <v>90</v>
      </c>
      <c r="AB20" s="9"/>
      <c r="AC20" s="29">
        <v>9</v>
      </c>
      <c r="AD20" s="29">
        <v>25</v>
      </c>
      <c r="AE20" s="30">
        <f>TIME(0,AC20,AD20)</f>
        <v>6.5393518518518517E-3</v>
      </c>
      <c r="AF20" s="29">
        <v>96</v>
      </c>
      <c r="AG20" s="29">
        <f>AF$13-AF20</f>
        <v>0</v>
      </c>
      <c r="AH20" s="30">
        <f>AE20+TIME(0,0,AG20)</f>
        <v>6.5393518518518517E-3</v>
      </c>
      <c r="AI20" s="29">
        <f>RANK(AH20,AH$19:AH$30,1)</f>
        <v>6</v>
      </c>
      <c r="AJ20" s="29">
        <f>VLOOKUP(AI20,'Место-баллы'!$A$3:$B$52,2,0)</f>
        <v>75</v>
      </c>
    </row>
    <row r="21" spans="1:36" ht="14.4" x14ac:dyDescent="0.3">
      <c r="A21" s="8"/>
      <c r="B21" s="17">
        <f>RANK(C21,C$19:C$30,0)</f>
        <v>3</v>
      </c>
      <c r="C21" s="17">
        <f>SUMIF($G$12:$AJ$12,1,$G21:$AJ21)</f>
        <v>341</v>
      </c>
      <c r="D21" s="11"/>
      <c r="E21" s="11" t="s">
        <v>130</v>
      </c>
      <c r="F21" s="11"/>
      <c r="G21" s="17">
        <v>72</v>
      </c>
      <c r="H21" s="17">
        <f>RANK(G21,G$19:G$30,0)</f>
        <v>8</v>
      </c>
      <c r="I21" s="17">
        <f>VLOOKUP(H21,'Место-баллы'!$A$3:$B$52,2,0)</f>
        <v>71</v>
      </c>
      <c r="J21" s="9"/>
      <c r="K21" s="29">
        <v>3</v>
      </c>
      <c r="L21" s="29">
        <v>38</v>
      </c>
      <c r="M21" s="30">
        <f>TIME(0,K21,L21)</f>
        <v>2.5231481481481481E-3</v>
      </c>
      <c r="N21" s="29">
        <v>60</v>
      </c>
      <c r="O21" s="29">
        <f>N$13-N21</f>
        <v>0</v>
      </c>
      <c r="P21" s="30">
        <f>M21+TIME(0,0,O21)</f>
        <v>2.5231481481481481E-3</v>
      </c>
      <c r="Q21" s="29">
        <f>RANK(P21,P$19:P$30,1)</f>
        <v>6</v>
      </c>
      <c r="R21" s="29">
        <f>VLOOKUP(Q21,'Место-баллы'!$A$3:$B$52,2,0)</f>
        <v>75</v>
      </c>
      <c r="S21" s="9"/>
      <c r="T21" s="29">
        <v>8</v>
      </c>
      <c r="U21" s="29">
        <v>5</v>
      </c>
      <c r="V21" s="30">
        <f>TIME(0,T21,U21)</f>
        <v>5.6134259259259271E-3</v>
      </c>
      <c r="W21" s="29">
        <f>251+70</f>
        <v>321</v>
      </c>
      <c r="X21" s="29">
        <f>W$13-W21</f>
        <v>30</v>
      </c>
      <c r="Y21" s="30">
        <f>V21+TIME(0,0,X21)</f>
        <v>5.9606481481481489E-3</v>
      </c>
      <c r="Z21" s="29">
        <f>RANK(Y21,Y$19:Y$30,1)</f>
        <v>2</v>
      </c>
      <c r="AA21" s="29">
        <f>VLOOKUP(Z21,'Место-баллы'!$A$3:$B$52,2,0)</f>
        <v>95</v>
      </c>
      <c r="AB21" s="9"/>
      <c r="AC21" s="29">
        <v>7</v>
      </c>
      <c r="AD21" s="29">
        <v>16</v>
      </c>
      <c r="AE21" s="30">
        <f>TIME(0,AC21,AD21)</f>
        <v>5.0462962962962961E-3</v>
      </c>
      <c r="AF21" s="29">
        <v>96</v>
      </c>
      <c r="AG21" s="29">
        <f>AF$13-AF21</f>
        <v>0</v>
      </c>
      <c r="AH21" s="30">
        <f>AE21+TIME(0,0,AG21)</f>
        <v>5.0462962962962961E-3</v>
      </c>
      <c r="AI21" s="29">
        <f>RANK(AH21,AH$19:AH$30,1)</f>
        <v>1</v>
      </c>
      <c r="AJ21" s="29">
        <f>VLOOKUP(AI21,'Место-баллы'!$A$3:$B$52,2,0)</f>
        <v>100</v>
      </c>
    </row>
    <row r="22" spans="1:36" ht="14.4" x14ac:dyDescent="0.3">
      <c r="A22" s="8"/>
      <c r="B22" s="17">
        <f>RANK(C22,C$19:C$30,0)</f>
        <v>4</v>
      </c>
      <c r="C22" s="17">
        <f>SUMIF($G$12:$AJ$12,1,$G22:$AJ22)</f>
        <v>329</v>
      </c>
      <c r="D22" s="11"/>
      <c r="E22" s="11" t="s">
        <v>133</v>
      </c>
      <c r="F22" s="11"/>
      <c r="G22" s="17">
        <v>85</v>
      </c>
      <c r="H22" s="17">
        <f>RANK(G22,G$19:G$30,0)</f>
        <v>1</v>
      </c>
      <c r="I22" s="17">
        <f>VLOOKUP(H22,'Место-баллы'!$A$3:$B$52,2,0)</f>
        <v>100</v>
      </c>
      <c r="J22" s="9"/>
      <c r="K22" s="29">
        <v>3</v>
      </c>
      <c r="L22" s="29">
        <v>28</v>
      </c>
      <c r="M22" s="30">
        <f>TIME(0,K22,L22)</f>
        <v>2.4074074074074076E-3</v>
      </c>
      <c r="N22" s="29">
        <v>60</v>
      </c>
      <c r="O22" s="29">
        <f>N$13-N22</f>
        <v>0</v>
      </c>
      <c r="P22" s="30">
        <f>M22+TIME(0,0,O22)</f>
        <v>2.4074074074074076E-3</v>
      </c>
      <c r="Q22" s="29">
        <f>RANK(P22,P$19:P$30,1)</f>
        <v>4</v>
      </c>
      <c r="R22" s="29">
        <f>VLOOKUP(Q22,'Место-баллы'!$A$3:$B$52,2,0)</f>
        <v>85</v>
      </c>
      <c r="S22" s="9"/>
      <c r="T22" s="29">
        <v>8</v>
      </c>
      <c r="U22" s="29">
        <v>5</v>
      </c>
      <c r="V22" s="30">
        <f>TIME(0,T22,U22)</f>
        <v>5.6134259259259271E-3</v>
      </c>
      <c r="W22" s="29">
        <f>134+32</f>
        <v>166</v>
      </c>
      <c r="X22" s="29">
        <f>W$13-W22</f>
        <v>185</v>
      </c>
      <c r="Y22" s="30">
        <f>V22+TIME(0,0,X22)</f>
        <v>7.7546296296296304E-3</v>
      </c>
      <c r="Z22" s="29">
        <f>RANK(Y22,Y$19:Y$30,1)</f>
        <v>8</v>
      </c>
      <c r="AA22" s="29">
        <f>VLOOKUP(Z22,'Место-баллы'!$A$3:$B$52,2,0)</f>
        <v>71</v>
      </c>
      <c r="AB22" s="9"/>
      <c r="AC22" s="29">
        <v>9</v>
      </c>
      <c r="AD22" s="29">
        <v>49</v>
      </c>
      <c r="AE22" s="30">
        <f>TIME(0,AC22,AD22)</f>
        <v>6.8171296296296287E-3</v>
      </c>
      <c r="AF22" s="29">
        <v>96</v>
      </c>
      <c r="AG22" s="29">
        <f>AF$13-AF22</f>
        <v>0</v>
      </c>
      <c r="AH22" s="30">
        <f>AE22+TIME(0,0,AG22)</f>
        <v>6.8171296296296287E-3</v>
      </c>
      <c r="AI22" s="29">
        <f>RANK(AH22,AH$19:AH$30,1)</f>
        <v>7</v>
      </c>
      <c r="AJ22" s="29">
        <f>VLOOKUP(AI22,'Место-баллы'!$A$3:$B$52,2,0)</f>
        <v>73</v>
      </c>
    </row>
    <row r="23" spans="1:36" ht="14.4" x14ac:dyDescent="0.3">
      <c r="A23" s="8"/>
      <c r="B23" s="17">
        <f>RANK(C23,C$19:C$30,0)</f>
        <v>5</v>
      </c>
      <c r="C23" s="17">
        <f>SUMIF($G$12:$AJ$12,1,$G23:$AJ23)</f>
        <v>319</v>
      </c>
      <c r="D23" s="11"/>
      <c r="E23" s="11" t="s">
        <v>139</v>
      </c>
      <c r="F23" s="11"/>
      <c r="G23" s="17">
        <v>80</v>
      </c>
      <c r="H23" s="17">
        <f>RANK(G23,G$19:G$30,0)</f>
        <v>3</v>
      </c>
      <c r="I23" s="17">
        <f>VLOOKUP(H23,'Место-баллы'!$A$3:$B$52,2,0)</f>
        <v>90</v>
      </c>
      <c r="J23" s="9"/>
      <c r="K23" s="29">
        <v>3</v>
      </c>
      <c r="L23" s="29">
        <v>47</v>
      </c>
      <c r="M23" s="30">
        <f>TIME(0,K23,L23)</f>
        <v>2.627314814814815E-3</v>
      </c>
      <c r="N23" s="29">
        <v>60</v>
      </c>
      <c r="O23" s="29">
        <f>N$13-N23</f>
        <v>0</v>
      </c>
      <c r="P23" s="30">
        <f>M23+TIME(0,0,O23)</f>
        <v>2.627314814814815E-3</v>
      </c>
      <c r="Q23" s="29">
        <f>RANK(P23,P$19:P$30,1)</f>
        <v>8</v>
      </c>
      <c r="R23" s="29">
        <f>VLOOKUP(Q23,'Место-баллы'!$A$3:$B$52,2,0)</f>
        <v>71</v>
      </c>
      <c r="S23" s="9"/>
      <c r="T23" s="29">
        <v>8</v>
      </c>
      <c r="U23" s="29">
        <v>5</v>
      </c>
      <c r="V23" s="30">
        <f>TIME(0,T23,U23)</f>
        <v>5.6134259259259271E-3</v>
      </c>
      <c r="W23" s="29">
        <f>134+82</f>
        <v>216</v>
      </c>
      <c r="X23" s="29">
        <f>W$13-W23</f>
        <v>135</v>
      </c>
      <c r="Y23" s="30">
        <f>V23+TIME(0,0,X23)</f>
        <v>7.1759259259259267E-3</v>
      </c>
      <c r="Z23" s="29">
        <f>RANK(Y23,Y$19:Y$30,1)</f>
        <v>7</v>
      </c>
      <c r="AA23" s="29">
        <f>VLOOKUP(Z23,'Место-баллы'!$A$3:$B$52,2,0)</f>
        <v>73</v>
      </c>
      <c r="AB23" s="9"/>
      <c r="AC23" s="29">
        <v>8</v>
      </c>
      <c r="AD23" s="29">
        <v>15</v>
      </c>
      <c r="AE23" s="30">
        <f>TIME(0,AC23,AD23)</f>
        <v>5.7291666666666671E-3</v>
      </c>
      <c r="AF23" s="29">
        <v>96</v>
      </c>
      <c r="AG23" s="29">
        <f>AF$13-AF23</f>
        <v>0</v>
      </c>
      <c r="AH23" s="30">
        <f>AE23+TIME(0,0,AG23)</f>
        <v>5.7291666666666671E-3</v>
      </c>
      <c r="AI23" s="29">
        <f>RANK(AH23,AH$19:AH$30,1)</f>
        <v>4</v>
      </c>
      <c r="AJ23" s="29">
        <f>VLOOKUP(AI23,'Место-баллы'!$A$3:$B$52,2,0)</f>
        <v>85</v>
      </c>
    </row>
    <row r="24" spans="1:36" ht="14.4" x14ac:dyDescent="0.3">
      <c r="A24" s="8"/>
      <c r="B24" s="17">
        <f>RANK(C24,C$19:C$30,0)</f>
        <v>6</v>
      </c>
      <c r="C24" s="17">
        <f>SUMIF($G$12:$AJ$12,1,$G24:$AJ24)</f>
        <v>317</v>
      </c>
      <c r="D24" s="11"/>
      <c r="E24" s="11" t="s">
        <v>131</v>
      </c>
      <c r="F24" s="11"/>
      <c r="G24" s="17">
        <v>75</v>
      </c>
      <c r="H24" s="17">
        <f>RANK(G24,G$19:G$30,0)</f>
        <v>5</v>
      </c>
      <c r="I24" s="17">
        <f>VLOOKUP(H24,'Место-баллы'!$A$3:$B$52,2,0)</f>
        <v>80</v>
      </c>
      <c r="J24" s="9"/>
      <c r="K24" s="29">
        <v>3</v>
      </c>
      <c r="L24" s="29">
        <v>59</v>
      </c>
      <c r="M24" s="30">
        <f>TIME(0,K24,L24)</f>
        <v>2.7662037037037034E-3</v>
      </c>
      <c r="N24" s="29">
        <v>60</v>
      </c>
      <c r="O24" s="29">
        <f>N$13-N24</f>
        <v>0</v>
      </c>
      <c r="P24" s="30">
        <f>M24+TIME(0,0,O24)</f>
        <v>2.7662037037037034E-3</v>
      </c>
      <c r="Q24" s="29">
        <f>RANK(P24,P$19:P$30,1)</f>
        <v>10</v>
      </c>
      <c r="R24" s="29">
        <f>VLOOKUP(Q24,'Место-баллы'!$A$3:$B$52,2,0)</f>
        <v>67</v>
      </c>
      <c r="S24" s="9"/>
      <c r="T24" s="29">
        <v>8</v>
      </c>
      <c r="U24" s="29">
        <v>5</v>
      </c>
      <c r="V24" s="30">
        <f>TIME(0,T24,U24)</f>
        <v>5.6134259259259271E-3</v>
      </c>
      <c r="W24" s="29">
        <v>234</v>
      </c>
      <c r="X24" s="29">
        <f>W$13-W24</f>
        <v>117</v>
      </c>
      <c r="Y24" s="30">
        <f>V24+TIME(0,0,X24)</f>
        <v>6.9675925925925938E-3</v>
      </c>
      <c r="Z24" s="29">
        <f>RANK(Y24,Y$19:Y$30,1)</f>
        <v>5</v>
      </c>
      <c r="AA24" s="29">
        <f>VLOOKUP(Z24,'Место-баллы'!$A$3:$B$52,2,0)</f>
        <v>80</v>
      </c>
      <c r="AB24" s="9"/>
      <c r="AC24" s="29">
        <v>8</v>
      </c>
      <c r="AD24" s="29">
        <v>9</v>
      </c>
      <c r="AE24" s="30">
        <f>TIME(0,AC24,AD24)</f>
        <v>5.6597222222222222E-3</v>
      </c>
      <c r="AF24" s="29">
        <v>96</v>
      </c>
      <c r="AG24" s="29">
        <f>AF$13-AF24</f>
        <v>0</v>
      </c>
      <c r="AH24" s="30">
        <f>AE24+TIME(0,0,AG24)</f>
        <v>5.6597222222222222E-3</v>
      </c>
      <c r="AI24" s="29">
        <f>RANK(AH24,AH$19:AH$30,1)</f>
        <v>3</v>
      </c>
      <c r="AJ24" s="29">
        <f>VLOOKUP(AI24,'Место-баллы'!$A$3:$B$52,2,0)</f>
        <v>90</v>
      </c>
    </row>
    <row r="25" spans="1:36" ht="14.4" x14ac:dyDescent="0.3">
      <c r="A25" s="8"/>
      <c r="B25" s="17">
        <f>RANK(C25,C$19:C$30,0)</f>
        <v>7</v>
      </c>
      <c r="C25" s="17">
        <f>SUMIF($G$12:$AJ$12,1,$G25:$AJ25)</f>
        <v>310</v>
      </c>
      <c r="D25" s="11"/>
      <c r="E25" s="11" t="s">
        <v>134</v>
      </c>
      <c r="F25" s="11"/>
      <c r="G25" s="17">
        <v>75</v>
      </c>
      <c r="H25" s="17">
        <f>RANK(G25,G$19:G$30,0)</f>
        <v>5</v>
      </c>
      <c r="I25" s="17">
        <f>VLOOKUP(H25,'Место-баллы'!$A$3:$B$52,2,0)</f>
        <v>80</v>
      </c>
      <c r="J25" s="9"/>
      <c r="K25" s="29">
        <v>3</v>
      </c>
      <c r="L25" s="29">
        <v>19</v>
      </c>
      <c r="M25" s="30">
        <f>TIME(0,K25,L25)</f>
        <v>2.3032407407407407E-3</v>
      </c>
      <c r="N25" s="29">
        <v>60</v>
      </c>
      <c r="O25" s="29">
        <f>N$13-N25</f>
        <v>0</v>
      </c>
      <c r="P25" s="30">
        <f>M25+TIME(0,0,O25)</f>
        <v>2.3032407407407407E-3</v>
      </c>
      <c r="Q25" s="29">
        <f>RANK(P25,P$19:P$30,1)</f>
        <v>3</v>
      </c>
      <c r="R25" s="29">
        <f>VLOOKUP(Q25,'Место-баллы'!$A$3:$B$52,2,0)</f>
        <v>90</v>
      </c>
      <c r="S25" s="9"/>
      <c r="T25" s="29">
        <v>8</v>
      </c>
      <c r="U25" s="29">
        <v>5</v>
      </c>
      <c r="V25" s="30">
        <f>TIME(0,T25,U25)</f>
        <v>5.6134259259259271E-3</v>
      </c>
      <c r="W25" s="29">
        <v>118</v>
      </c>
      <c r="X25" s="29">
        <f>W$13-W25</f>
        <v>233</v>
      </c>
      <c r="Y25" s="30">
        <f>V25+TIME(0,0,X25)</f>
        <v>8.3101851851851861E-3</v>
      </c>
      <c r="Z25" s="29">
        <f>RANK(Y25,Y$19:Y$30,1)</f>
        <v>9</v>
      </c>
      <c r="AA25" s="29">
        <f>VLOOKUP(Z25,'Место-баллы'!$A$3:$B$52,2,0)</f>
        <v>69</v>
      </c>
      <c r="AB25" s="9"/>
      <c r="AC25" s="29">
        <v>11</v>
      </c>
      <c r="AD25" s="29">
        <v>22</v>
      </c>
      <c r="AE25" s="30">
        <f>TIME(0,AC25,AD25)</f>
        <v>7.8935185185185185E-3</v>
      </c>
      <c r="AF25" s="29">
        <v>96</v>
      </c>
      <c r="AG25" s="29">
        <f>AF$13-AF25</f>
        <v>0</v>
      </c>
      <c r="AH25" s="30">
        <f>AE25+TIME(0,0,AG25)</f>
        <v>7.8935185185185185E-3</v>
      </c>
      <c r="AI25" s="29">
        <f>RANK(AH25,AH$19:AH$30,1)</f>
        <v>8</v>
      </c>
      <c r="AJ25" s="29">
        <f>VLOOKUP(AI25,'Место-баллы'!$A$3:$B$52,2,0)</f>
        <v>71</v>
      </c>
    </row>
    <row r="26" spans="1:36" ht="14.4" x14ac:dyDescent="0.3">
      <c r="A26" s="8"/>
      <c r="B26" s="17">
        <f>RANK(C26,C$19:C$30,0)</f>
        <v>8</v>
      </c>
      <c r="C26" s="17">
        <f>SUMIF($G$12:$AJ$12,1,$G26:$AJ26)</f>
        <v>309</v>
      </c>
      <c r="D26" s="11"/>
      <c r="E26" s="11" t="s">
        <v>128</v>
      </c>
      <c r="F26" s="11"/>
      <c r="G26" s="17">
        <v>70</v>
      </c>
      <c r="H26" s="17">
        <f>RANK(G26,G$19:G$30,0)</f>
        <v>9</v>
      </c>
      <c r="I26" s="17">
        <f>VLOOKUP(H26,'Место-баллы'!$A$3:$B$52,2,0)</f>
        <v>69</v>
      </c>
      <c r="J26" s="9"/>
      <c r="K26" s="29">
        <v>3</v>
      </c>
      <c r="L26" s="29">
        <v>32</v>
      </c>
      <c r="M26" s="30">
        <f>TIME(0,K26,L26)</f>
        <v>2.4537037037037036E-3</v>
      </c>
      <c r="N26" s="29">
        <v>60</v>
      </c>
      <c r="O26" s="29">
        <f>N$13-N26</f>
        <v>0</v>
      </c>
      <c r="P26" s="30">
        <f>M26+TIME(0,0,O26)</f>
        <v>2.4537037037037036E-3</v>
      </c>
      <c r="Q26" s="29">
        <f>RANK(P26,P$19:P$30,1)</f>
        <v>5</v>
      </c>
      <c r="R26" s="29">
        <f>VLOOKUP(Q26,'Место-баллы'!$A$3:$B$52,2,0)</f>
        <v>80</v>
      </c>
      <c r="S26" s="9"/>
      <c r="T26" s="29">
        <v>8</v>
      </c>
      <c r="U26" s="29">
        <v>5</v>
      </c>
      <c r="V26" s="30">
        <f>TIME(0,T26,U26)</f>
        <v>5.6134259259259271E-3</v>
      </c>
      <c r="W26" s="29">
        <v>234</v>
      </c>
      <c r="X26" s="29">
        <f>W$13-W26</f>
        <v>117</v>
      </c>
      <c r="Y26" s="30">
        <f>V26+TIME(0,0,X26)</f>
        <v>6.9675925925925938E-3</v>
      </c>
      <c r="Z26" s="29">
        <f>RANK(Y26,Y$19:Y$30,1)</f>
        <v>5</v>
      </c>
      <c r="AA26" s="29">
        <f>VLOOKUP(Z26,'Место-баллы'!$A$3:$B$52,2,0)</f>
        <v>80</v>
      </c>
      <c r="AB26" s="9"/>
      <c r="AC26" s="29">
        <v>9</v>
      </c>
      <c r="AD26" s="29">
        <v>1</v>
      </c>
      <c r="AE26" s="30">
        <f>TIME(0,AC26,AD26)</f>
        <v>6.2615740740740748E-3</v>
      </c>
      <c r="AF26" s="29">
        <v>96</v>
      </c>
      <c r="AG26" s="29">
        <f>AF$13-AF26</f>
        <v>0</v>
      </c>
      <c r="AH26" s="30">
        <f>AE26+TIME(0,0,AG26)</f>
        <v>6.2615740740740748E-3</v>
      </c>
      <c r="AI26" s="29">
        <f>RANK(AH26,AH$19:AH$30,1)</f>
        <v>5</v>
      </c>
      <c r="AJ26" s="29">
        <f>VLOOKUP(AI26,'Место-баллы'!$A$3:$B$52,2,0)</f>
        <v>80</v>
      </c>
    </row>
    <row r="27" spans="1:36" ht="14.4" x14ac:dyDescent="0.3">
      <c r="A27" s="8"/>
      <c r="B27" s="17">
        <f>RANK(C27,C$19:C$30,0)</f>
        <v>9</v>
      </c>
      <c r="C27" s="17">
        <f>SUMIF($G$12:$AJ$12,1,$G27:$AJ27)</f>
        <v>299</v>
      </c>
      <c r="D27" s="11"/>
      <c r="E27" s="11" t="s">
        <v>138</v>
      </c>
      <c r="F27" s="11"/>
      <c r="G27" s="17">
        <v>80</v>
      </c>
      <c r="H27" s="17">
        <f>RANK(G27,G$19:G$30,0)</f>
        <v>3</v>
      </c>
      <c r="I27" s="17">
        <f>VLOOKUP(H27,'Место-баллы'!$A$3:$B$52,2,0)</f>
        <v>90</v>
      </c>
      <c r="J27" s="9"/>
      <c r="K27" s="29">
        <v>3</v>
      </c>
      <c r="L27" s="29">
        <v>40</v>
      </c>
      <c r="M27" s="30">
        <f>TIME(0,K27,L27)</f>
        <v>2.5462962962962961E-3</v>
      </c>
      <c r="N27" s="29">
        <v>60</v>
      </c>
      <c r="O27" s="29">
        <f>N$13-N27</f>
        <v>0</v>
      </c>
      <c r="P27" s="30">
        <f>M27+TIME(0,0,O27)</f>
        <v>2.5462962962962961E-3</v>
      </c>
      <c r="Q27" s="29">
        <f>RANK(P27,P$19:P$30,1)</f>
        <v>7</v>
      </c>
      <c r="R27" s="29">
        <f>VLOOKUP(Q27,'Место-баллы'!$A$3:$B$52,2,0)</f>
        <v>73</v>
      </c>
      <c r="S27" s="9"/>
      <c r="T27" s="29">
        <v>8</v>
      </c>
      <c r="U27" s="29">
        <v>5</v>
      </c>
      <c r="V27" s="30">
        <f>TIME(0,T27,U27)</f>
        <v>5.6134259259259271E-3</v>
      </c>
      <c r="W27" s="29">
        <v>118</v>
      </c>
      <c r="X27" s="29">
        <f>W$13-W27</f>
        <v>233</v>
      </c>
      <c r="Y27" s="30">
        <f>V27+TIME(0,0,X27)</f>
        <v>8.3101851851851861E-3</v>
      </c>
      <c r="Z27" s="29">
        <f>RANK(Y27,Y$19:Y$30,1)</f>
        <v>9</v>
      </c>
      <c r="AA27" s="29">
        <f>VLOOKUP(Z27,'Место-баллы'!$A$3:$B$52,2,0)</f>
        <v>69</v>
      </c>
      <c r="AB27" s="9"/>
      <c r="AC27" s="29">
        <v>12</v>
      </c>
      <c r="AD27" s="29">
        <v>5</v>
      </c>
      <c r="AE27" s="30">
        <f>TIME(0,AC27,AD27)</f>
        <v>8.3912037037037045E-3</v>
      </c>
      <c r="AF27" s="29">
        <v>84</v>
      </c>
      <c r="AG27" s="29">
        <f>AF$13-AF27</f>
        <v>12</v>
      </c>
      <c r="AH27" s="30">
        <f>AE27+TIME(0,0,AG27)</f>
        <v>8.5300925925925926E-3</v>
      </c>
      <c r="AI27" s="29">
        <f>RANK(AH27,AH$19:AH$30,1)</f>
        <v>10</v>
      </c>
      <c r="AJ27" s="29">
        <f>VLOOKUP(AI27,'Место-баллы'!$A$3:$B$52,2,0)</f>
        <v>67</v>
      </c>
    </row>
    <row r="28" spans="1:36" ht="14.4" x14ac:dyDescent="0.3">
      <c r="A28" s="8"/>
      <c r="B28" s="17">
        <f>RANK(C28,C$19:C$30,0)</f>
        <v>10</v>
      </c>
      <c r="C28" s="17">
        <f>SUMIF($G$12:$AJ$12,1,$G28:$AJ28)</f>
        <v>286</v>
      </c>
      <c r="D28" s="11"/>
      <c r="E28" s="11" t="s">
        <v>137</v>
      </c>
      <c r="F28" s="11"/>
      <c r="G28" s="17">
        <v>63</v>
      </c>
      <c r="H28" s="17">
        <f>RANK(G28,G$19:G$30,0)</f>
        <v>12</v>
      </c>
      <c r="I28" s="17">
        <f>VLOOKUP(H28,'Место-баллы'!$A$3:$B$52,2,0)</f>
        <v>63</v>
      </c>
      <c r="J28" s="9"/>
      <c r="K28" s="29">
        <v>3</v>
      </c>
      <c r="L28" s="29">
        <v>58</v>
      </c>
      <c r="M28" s="30">
        <f>TIME(0,K28,L28)</f>
        <v>2.7546296296296294E-3</v>
      </c>
      <c r="N28" s="29">
        <v>60</v>
      </c>
      <c r="O28" s="29">
        <f>N$13-N28</f>
        <v>0</v>
      </c>
      <c r="P28" s="30">
        <f>M28+TIME(0,0,O28)</f>
        <v>2.7546296296296294E-3</v>
      </c>
      <c r="Q28" s="29">
        <f>RANK(P28,P$19:P$30,1)</f>
        <v>9</v>
      </c>
      <c r="R28" s="29">
        <f>VLOOKUP(Q28,'Место-баллы'!$A$3:$B$52,2,0)</f>
        <v>69</v>
      </c>
      <c r="S28" s="9"/>
      <c r="T28" s="29">
        <v>8</v>
      </c>
      <c r="U28" s="29">
        <v>5</v>
      </c>
      <c r="V28" s="30">
        <f>TIME(0,T28,U28)</f>
        <v>5.6134259259259271E-3</v>
      </c>
      <c r="W28" s="29">
        <v>235</v>
      </c>
      <c r="X28" s="29">
        <f>W$13-W28</f>
        <v>116</v>
      </c>
      <c r="Y28" s="30">
        <f>V28+TIME(0,0,X28)</f>
        <v>6.9560185185185194E-3</v>
      </c>
      <c r="Z28" s="29">
        <f>RANK(Y28,Y$19:Y$30,1)</f>
        <v>4</v>
      </c>
      <c r="AA28" s="29">
        <f>VLOOKUP(Z28,'Место-баллы'!$A$3:$B$52,2,0)</f>
        <v>85</v>
      </c>
      <c r="AB28" s="9"/>
      <c r="AC28" s="29">
        <v>11</v>
      </c>
      <c r="AD28" s="29">
        <v>59</v>
      </c>
      <c r="AE28" s="30">
        <f>TIME(0,AC28,AD28)</f>
        <v>8.3217592592592596E-3</v>
      </c>
      <c r="AF28" s="29">
        <v>96</v>
      </c>
      <c r="AG28" s="29">
        <f>AF$13-AF28</f>
        <v>0</v>
      </c>
      <c r="AH28" s="30">
        <f>AE28+TIME(0,0,AG28)</f>
        <v>8.3217592592592596E-3</v>
      </c>
      <c r="AI28" s="29">
        <f>RANK(AH28,AH$19:AH$30,1)</f>
        <v>9</v>
      </c>
      <c r="AJ28" s="29">
        <f>VLOOKUP(AI28,'Место-баллы'!$A$3:$B$52,2,0)</f>
        <v>69</v>
      </c>
    </row>
    <row r="29" spans="1:36" ht="14.4" x14ac:dyDescent="0.3">
      <c r="A29" s="8"/>
      <c r="B29" s="17">
        <f>RANK(C29,C$19:C$30,0)</f>
        <v>11</v>
      </c>
      <c r="C29" s="17">
        <f>SUMIF($G$12:$AJ$12,1,$G29:$AJ29)</f>
        <v>266</v>
      </c>
      <c r="D29" s="11"/>
      <c r="E29" s="11" t="s">
        <v>132</v>
      </c>
      <c r="F29" s="11"/>
      <c r="G29" s="17">
        <v>70</v>
      </c>
      <c r="H29" s="17">
        <f>RANK(G29,G$19:G$30,0)</f>
        <v>9</v>
      </c>
      <c r="I29" s="17">
        <f>VLOOKUP(H29,'Место-баллы'!$A$3:$B$52,2,0)</f>
        <v>69</v>
      </c>
      <c r="J29" s="9"/>
      <c r="K29" s="29">
        <v>4</v>
      </c>
      <c r="L29" s="29">
        <v>45</v>
      </c>
      <c r="M29" s="30">
        <f>TIME(0,K29,L29)</f>
        <v>3.2986111111111111E-3</v>
      </c>
      <c r="N29" s="29">
        <v>60</v>
      </c>
      <c r="O29" s="29">
        <f>N$13-N29</f>
        <v>0</v>
      </c>
      <c r="P29" s="30">
        <f>M29+TIME(0,0,O29)</f>
        <v>3.2986111111111111E-3</v>
      </c>
      <c r="Q29" s="29">
        <f>RANK(P29,P$19:P$30,1)</f>
        <v>12</v>
      </c>
      <c r="R29" s="29">
        <f>VLOOKUP(Q29,'Место-баллы'!$A$3:$B$52,2,0)</f>
        <v>63</v>
      </c>
      <c r="S29" s="9"/>
      <c r="T29" s="29">
        <v>8</v>
      </c>
      <c r="U29" s="29">
        <v>5</v>
      </c>
      <c r="V29" s="30">
        <f>TIME(0,T29,U29)</f>
        <v>5.6134259259259271E-3</v>
      </c>
      <c r="W29" s="29">
        <v>118</v>
      </c>
      <c r="X29" s="29">
        <f>W$13-W29</f>
        <v>233</v>
      </c>
      <c r="Y29" s="30">
        <f>V29+TIME(0,0,X29)</f>
        <v>8.3101851851851861E-3</v>
      </c>
      <c r="Z29" s="29">
        <f>RANK(Y29,Y$19:Y$30,1)</f>
        <v>9</v>
      </c>
      <c r="AA29" s="29">
        <f>VLOOKUP(Z29,'Место-баллы'!$A$3:$B$52,2,0)</f>
        <v>69</v>
      </c>
      <c r="AB29" s="9"/>
      <c r="AC29" s="29">
        <v>12</v>
      </c>
      <c r="AD29" s="29">
        <v>5</v>
      </c>
      <c r="AE29" s="30">
        <f>TIME(0,AC29,AD29)</f>
        <v>8.3912037037037045E-3</v>
      </c>
      <c r="AF29" s="29">
        <v>80</v>
      </c>
      <c r="AG29" s="29">
        <f>AF$13-AF29</f>
        <v>16</v>
      </c>
      <c r="AH29" s="30">
        <f>AE29+TIME(0,0,AG29)</f>
        <v>8.5763888888888903E-3</v>
      </c>
      <c r="AI29" s="29">
        <f>RANK(AH29,AH$19:AH$30,1)</f>
        <v>11</v>
      </c>
      <c r="AJ29" s="29">
        <f>VLOOKUP(AI29,'Место-баллы'!$A$3:$B$52,2,0)</f>
        <v>65</v>
      </c>
    </row>
    <row r="30" spans="1:36" ht="14.4" x14ac:dyDescent="0.3">
      <c r="A30" s="8"/>
      <c r="B30" s="17">
        <f>RANK(C30,C$19:C$30,0)</f>
        <v>12</v>
      </c>
      <c r="C30" s="17">
        <f>SUMIF($G$12:$AJ$12,1,$G30:$AJ30)</f>
        <v>260</v>
      </c>
      <c r="D30" s="11"/>
      <c r="E30" s="11" t="s">
        <v>129</v>
      </c>
      <c r="F30" s="11"/>
      <c r="G30" s="17">
        <v>70</v>
      </c>
      <c r="H30" s="17">
        <f>RANK(G30,G$19:G$30,0)</f>
        <v>9</v>
      </c>
      <c r="I30" s="17">
        <f>VLOOKUP(H30,'Место-баллы'!$A$3:$B$52,2,0)</f>
        <v>69</v>
      </c>
      <c r="J30" s="9"/>
      <c r="K30" s="29">
        <v>4</v>
      </c>
      <c r="L30" s="29">
        <v>37</v>
      </c>
      <c r="M30" s="30">
        <f>TIME(0,K30,L30)</f>
        <v>3.2060185185185191E-3</v>
      </c>
      <c r="N30" s="29">
        <v>60</v>
      </c>
      <c r="O30" s="29">
        <f>N$13-N30</f>
        <v>0</v>
      </c>
      <c r="P30" s="30">
        <f>M30+TIME(0,0,O30)</f>
        <v>3.2060185185185191E-3</v>
      </c>
      <c r="Q30" s="29">
        <f>RANK(P30,P$19:P$30,1)</f>
        <v>11</v>
      </c>
      <c r="R30" s="29">
        <f>VLOOKUP(Q30,'Место-баллы'!$A$3:$B$52,2,0)</f>
        <v>65</v>
      </c>
      <c r="S30" s="9"/>
      <c r="T30" s="29">
        <v>8</v>
      </c>
      <c r="U30" s="29">
        <v>5</v>
      </c>
      <c r="V30" s="30">
        <f>TIME(0,T30,U30)</f>
        <v>5.6134259259259271E-3</v>
      </c>
      <c r="W30" s="29">
        <f>17+59</f>
        <v>76</v>
      </c>
      <c r="X30" s="29">
        <f>W$13-W30</f>
        <v>275</v>
      </c>
      <c r="Y30" s="30">
        <f>V30+TIME(0,0,X30)</f>
        <v>8.7962962962962968E-3</v>
      </c>
      <c r="Z30" s="29">
        <f>RANK(Y30,Y$19:Y$30,1)</f>
        <v>12</v>
      </c>
      <c r="AA30" s="29">
        <f>VLOOKUP(Z30,'Место-баллы'!$A$3:$B$52,2,0)</f>
        <v>63</v>
      </c>
      <c r="AB30" s="9"/>
      <c r="AC30" s="29">
        <v>12</v>
      </c>
      <c r="AD30" s="29">
        <v>5</v>
      </c>
      <c r="AE30" s="30">
        <f>TIME(0,AC30,AD30)</f>
        <v>8.3912037037037045E-3</v>
      </c>
      <c r="AF30" s="29">
        <v>77</v>
      </c>
      <c r="AG30" s="29">
        <f>AF$13-AF30</f>
        <v>19</v>
      </c>
      <c r="AH30" s="30">
        <f>AE30+TIME(0,0,AG30)</f>
        <v>8.6111111111111128E-3</v>
      </c>
      <c r="AI30" s="29">
        <f>RANK(AH30,AH$19:AH$30,1)</f>
        <v>12</v>
      </c>
      <c r="AJ30" s="29">
        <f>VLOOKUP(AI30,'Место-баллы'!$A$3:$B$52,2,0)</f>
        <v>63</v>
      </c>
    </row>
    <row r="31" spans="1:36" ht="15.75" customHeight="1" x14ac:dyDescent="0.3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5.75" customHeight="1" x14ac:dyDescent="0.3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5.75" customHeight="1" outlineLevel="1" x14ac:dyDescent="0.35">
      <c r="A33" s="8"/>
      <c r="B33" s="22" t="s">
        <v>19</v>
      </c>
      <c r="C33" s="22"/>
      <c r="D33" s="22"/>
      <c r="E33" s="22"/>
      <c r="F33" s="22"/>
      <c r="G33" s="22"/>
      <c r="H33" s="22"/>
      <c r="I33" s="2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5.75" customHeight="1" outlineLevel="1" x14ac:dyDescent="0.3">
      <c r="B34" s="23"/>
      <c r="C34" s="23"/>
      <c r="D34" s="23"/>
      <c r="E34" s="2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5.75" customHeight="1" outlineLevel="1" x14ac:dyDescent="0.35">
      <c r="B35" s="22" t="s">
        <v>20</v>
      </c>
      <c r="C35" s="22"/>
      <c r="D35" s="22"/>
      <c r="E35" s="22"/>
      <c r="F35" s="22"/>
      <c r="G35" s="22"/>
      <c r="H35" s="22"/>
      <c r="I35" s="2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5.75" customHeight="1" x14ac:dyDescent="0.3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5.75" customHeight="1" x14ac:dyDescent="0.3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5.75" customHeight="1" x14ac:dyDescent="0.3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5.75" customHeight="1" x14ac:dyDescent="0.3"/>
    <row r="40" spans="1:36" ht="15.75" customHeight="1" x14ac:dyDescent="0.3"/>
    <row r="41" spans="1:36" ht="15.75" customHeight="1" x14ac:dyDescent="0.3"/>
    <row r="42" spans="1:36" ht="15.75" customHeight="1" x14ac:dyDescent="0.3"/>
    <row r="43" spans="1:36" ht="15.75" customHeight="1" x14ac:dyDescent="0.3"/>
    <row r="44" spans="1:36" ht="15.75" customHeight="1" x14ac:dyDescent="0.3"/>
    <row r="45" spans="1:36" ht="15.75" customHeight="1" x14ac:dyDescent="0.3"/>
    <row r="46" spans="1:36" ht="15.75" customHeight="1" x14ac:dyDescent="0.3"/>
    <row r="47" spans="1:36" ht="15.75" customHeight="1" x14ac:dyDescent="0.3"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autoFilter ref="B18:AJ18" xr:uid="{00000000-0009-0000-0000-000008000000}">
    <sortState xmlns:xlrd2="http://schemas.microsoft.com/office/spreadsheetml/2017/richdata2" ref="B19:AJ30">
      <sortCondition ref="B18"/>
    </sortState>
  </autoFilter>
  <mergeCells count="14">
    <mergeCell ref="B8:AJ8"/>
    <mergeCell ref="B10:AJ10"/>
    <mergeCell ref="B16:C17"/>
    <mergeCell ref="E16:E17"/>
    <mergeCell ref="G16:I17"/>
    <mergeCell ref="K16:R17"/>
    <mergeCell ref="T16:AA17"/>
    <mergeCell ref="AC16:AJ17"/>
    <mergeCell ref="B7:AJ7"/>
    <mergeCell ref="B1:AJ1"/>
    <mergeCell ref="B2:AJ2"/>
    <mergeCell ref="B3:AJ3"/>
    <mergeCell ref="B4:AJ4"/>
    <mergeCell ref="B6:AJ6"/>
  </mergeCells>
  <printOptions horizontalCentered="1" verticalCentered="1"/>
  <pageMargins left="0" right="0" top="0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Место-баллы</vt:lpstr>
      <vt:lpstr>35-39 Ж</vt:lpstr>
      <vt:lpstr>35-39 М</vt:lpstr>
      <vt:lpstr>40-44 Ж</vt:lpstr>
      <vt:lpstr>40-44 М</vt:lpstr>
      <vt:lpstr>45-49 Ж</vt:lpstr>
      <vt:lpstr>45-49 М</vt:lpstr>
      <vt:lpstr>50+ Ж</vt:lpstr>
      <vt:lpstr>50+ М</vt:lpstr>
      <vt:lpstr>Команды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TkaTakT</cp:lastModifiedBy>
  <cp:lastPrinted>2021-07-18T18:56:08Z</cp:lastPrinted>
  <dcterms:created xsi:type="dcterms:W3CDTF">2017-08-12T14:09:08Z</dcterms:created>
  <dcterms:modified xsi:type="dcterms:W3CDTF">2021-07-18T18:56:32Z</dcterms:modified>
</cp:coreProperties>
</file>