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hp\Desktop\Гера\2022\"/>
    </mc:Choice>
  </mc:AlternateContent>
  <xr:revisionPtr revIDLastSave="0" documentId="13_ncr:1_{3A8CDB64-7FB3-4B4B-833E-189991924EE8}" xr6:coauthVersionLast="47" xr6:coauthVersionMax="47" xr10:uidLastSave="{00000000-0000-0000-0000-000000000000}"/>
  <bookViews>
    <workbookView xWindow="-120" yWindow="-120" windowWidth="20730" windowHeight="11310" tabRatio="818" activeTab="10" xr2:uid="{00000000-000D-0000-FFFF-FFFF00000000}"/>
  </bookViews>
  <sheets>
    <sheet name="Место-баллы" sheetId="1" r:id="rId1"/>
    <sheet name="13-14 Ж" sheetId="19" r:id="rId2"/>
    <sheet name="13-14 М" sheetId="31" r:id="rId3"/>
    <sheet name="15-16 Ж" sheetId="32" r:id="rId4"/>
    <sheet name="15-16 М" sheetId="33" r:id="rId5"/>
    <sheet name="17-18 Ж" sheetId="34" r:id="rId6"/>
    <sheet name="17-18 М" sheetId="35" r:id="rId7"/>
    <sheet name="19-20 Ж" sheetId="36" r:id="rId8"/>
    <sheet name="19-20 М" sheetId="37" r:id="rId9"/>
    <sheet name="21+ Ж" sheetId="38" r:id="rId10"/>
    <sheet name="21+ М" sheetId="39" r:id="rId11"/>
  </sheets>
  <definedNames>
    <definedName name="_xlnm._FilterDatabase" localSheetId="1" hidden="1">'13-14 Ж'!$B$7:$BE$7</definedName>
    <definedName name="_xlnm._FilterDatabase" localSheetId="2" hidden="1">'13-14 М'!$B$7:$BE$7</definedName>
    <definedName name="_xlnm._FilterDatabase" localSheetId="3" hidden="1">'15-16 Ж'!$B$7:$BE$7</definedName>
    <definedName name="_xlnm._FilterDatabase" localSheetId="4" hidden="1">'15-16 М'!$B$7:$BE$7</definedName>
    <definedName name="_xlnm._FilterDatabase" localSheetId="5" hidden="1">'17-18 Ж'!$B$7:$AJ$7</definedName>
    <definedName name="_xlnm._FilterDatabase" localSheetId="6" hidden="1">'17-18 М'!$B$7:$BB$7</definedName>
    <definedName name="_xlnm._FilterDatabase" localSheetId="7" hidden="1">'19-20 Ж'!$B$7:$AJ$7</definedName>
    <definedName name="_xlnm._FilterDatabase" localSheetId="8" hidden="1">'19-20 М'!$B$7:$BB$7</definedName>
    <definedName name="_xlnm._FilterDatabase" localSheetId="9" hidden="1">'21+ Ж'!$B$7:$BB$7</definedName>
    <definedName name="_xlnm._FilterDatabase" localSheetId="10" hidden="1">'21+ М'!$B$7:$BB$7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8" i="34" l="1"/>
  <c r="AE33" i="39"/>
  <c r="AG33" i="39"/>
  <c r="AN33" i="39"/>
  <c r="AP33" i="39"/>
  <c r="AW33" i="39"/>
  <c r="AY33" i="39"/>
  <c r="X33" i="39"/>
  <c r="V33" i="39"/>
  <c r="AQ33" i="39" l="1"/>
  <c r="AH33" i="39"/>
  <c r="Y33" i="39"/>
  <c r="AZ33" i="39"/>
  <c r="G12" i="38" l="1"/>
  <c r="G14" i="39" l="1"/>
  <c r="G16" i="39"/>
  <c r="G10" i="39"/>
  <c r="G9" i="39"/>
  <c r="G11" i="39"/>
  <c r="G13" i="39"/>
  <c r="G28" i="39"/>
  <c r="G21" i="39"/>
  <c r="G24" i="39"/>
  <c r="G23" i="39"/>
  <c r="G8" i="39"/>
  <c r="G18" i="39"/>
  <c r="G15" i="39"/>
  <c r="G22" i="39"/>
  <c r="G25" i="39"/>
  <c r="G30" i="39"/>
  <c r="G33" i="39"/>
  <c r="G27" i="39"/>
  <c r="N32" i="39"/>
  <c r="G32" i="39"/>
  <c r="G17" i="39"/>
  <c r="G19" i="39"/>
  <c r="G26" i="39"/>
  <c r="G20" i="39"/>
  <c r="G31" i="39"/>
  <c r="N29" i="39"/>
  <c r="G29" i="39"/>
  <c r="G12" i="39"/>
  <c r="G9" i="38"/>
  <c r="G14" i="38"/>
  <c r="G8" i="38"/>
  <c r="G13" i="38"/>
  <c r="G10" i="38"/>
  <c r="G11" i="38"/>
  <c r="G8" i="34"/>
  <c r="G10" i="37"/>
  <c r="G9" i="37"/>
  <c r="G11" i="37"/>
  <c r="G8" i="37"/>
  <c r="G12" i="37"/>
  <c r="G11" i="35"/>
  <c r="G8" i="35"/>
  <c r="G9" i="35"/>
  <c r="H9" i="35" s="1"/>
  <c r="G10" i="35"/>
  <c r="N2" i="39" l="1"/>
  <c r="O33" i="39" s="1"/>
  <c r="N2" i="38"/>
  <c r="N2" i="37"/>
  <c r="I9" i="33"/>
  <c r="Q9" i="33"/>
  <c r="R9" i="33" s="1"/>
  <c r="V9" i="33"/>
  <c r="AE9" i="33"/>
  <c r="AG9" i="33"/>
  <c r="AN9" i="33"/>
  <c r="AP9" i="33"/>
  <c r="AW9" i="33"/>
  <c r="AZ9" i="33"/>
  <c r="I11" i="33"/>
  <c r="Q11" i="33"/>
  <c r="R11" i="33" s="1"/>
  <c r="V11" i="33"/>
  <c r="AE11" i="33"/>
  <c r="AG11" i="33"/>
  <c r="AN11" i="33"/>
  <c r="AP11" i="33"/>
  <c r="AW11" i="33"/>
  <c r="AZ11" i="33"/>
  <c r="I10" i="33"/>
  <c r="Q10" i="33"/>
  <c r="R10" i="33" s="1"/>
  <c r="V10" i="33"/>
  <c r="AE10" i="33"/>
  <c r="AG10" i="33"/>
  <c r="AN10" i="33"/>
  <c r="AP10" i="33"/>
  <c r="AW10" i="33"/>
  <c r="AZ10" i="33"/>
  <c r="H9" i="38"/>
  <c r="I9" i="38" s="1"/>
  <c r="M9" i="38"/>
  <c r="O9" i="38"/>
  <c r="V9" i="38"/>
  <c r="AE9" i="38"/>
  <c r="AG9" i="38"/>
  <c r="AN9" i="38"/>
  <c r="AP9" i="38"/>
  <c r="AW9" i="38"/>
  <c r="H12" i="38"/>
  <c r="I12" i="38" s="1"/>
  <c r="M12" i="38"/>
  <c r="O12" i="38"/>
  <c r="V12" i="38"/>
  <c r="AE12" i="38"/>
  <c r="AG12" i="38"/>
  <c r="AN12" i="38"/>
  <c r="AP12" i="38"/>
  <c r="AW12" i="38"/>
  <c r="H11" i="38"/>
  <c r="I11" i="38" s="1"/>
  <c r="M11" i="38"/>
  <c r="V11" i="38"/>
  <c r="AE11" i="38"/>
  <c r="AG11" i="38"/>
  <c r="AN11" i="38"/>
  <c r="AP11" i="38"/>
  <c r="AW11" i="38"/>
  <c r="H10" i="38"/>
  <c r="I10" i="38" s="1"/>
  <c r="M10" i="38"/>
  <c r="V10" i="38"/>
  <c r="AE10" i="38"/>
  <c r="AG10" i="38"/>
  <c r="AN10" i="38"/>
  <c r="AP10" i="38"/>
  <c r="AW10" i="38"/>
  <c r="H8" i="38"/>
  <c r="I8" i="38" s="1"/>
  <c r="M8" i="38"/>
  <c r="O8" i="38"/>
  <c r="V8" i="38"/>
  <c r="AE8" i="38"/>
  <c r="AG8" i="38"/>
  <c r="AN8" i="38"/>
  <c r="AP8" i="38"/>
  <c r="AW8" i="38"/>
  <c r="H14" i="38"/>
  <c r="I14" i="38" s="1"/>
  <c r="M14" i="38"/>
  <c r="V14" i="38"/>
  <c r="AE14" i="38"/>
  <c r="AG14" i="38"/>
  <c r="AN14" i="38"/>
  <c r="AP14" i="38"/>
  <c r="AW14" i="38"/>
  <c r="H9" i="39"/>
  <c r="I9" i="39" s="1"/>
  <c r="M9" i="39"/>
  <c r="V9" i="39"/>
  <c r="AE9" i="39"/>
  <c r="AG9" i="39"/>
  <c r="AN9" i="39"/>
  <c r="AP9" i="39"/>
  <c r="AW9" i="39"/>
  <c r="H31" i="39"/>
  <c r="I31" i="39" s="1"/>
  <c r="M31" i="39"/>
  <c r="O31" i="39"/>
  <c r="V31" i="39"/>
  <c r="AE31" i="39"/>
  <c r="AG31" i="39"/>
  <c r="AN31" i="39"/>
  <c r="AP31" i="39"/>
  <c r="AW31" i="39"/>
  <c r="H33" i="39"/>
  <c r="I33" i="39" s="1"/>
  <c r="M33" i="39"/>
  <c r="H29" i="39"/>
  <c r="I29" i="39" s="1"/>
  <c r="M29" i="39"/>
  <c r="V29" i="39"/>
  <c r="AE29" i="39"/>
  <c r="AG29" i="39"/>
  <c r="AN29" i="39"/>
  <c r="AP29" i="39"/>
  <c r="AW29" i="39"/>
  <c r="H22" i="39"/>
  <c r="I22" i="39" s="1"/>
  <c r="M22" i="39"/>
  <c r="V22" i="39"/>
  <c r="AE22" i="39"/>
  <c r="AG22" i="39"/>
  <c r="AN22" i="39"/>
  <c r="AP22" i="39"/>
  <c r="AW22" i="39"/>
  <c r="H19" i="39"/>
  <c r="I19" i="39" s="1"/>
  <c r="M19" i="39"/>
  <c r="V19" i="39"/>
  <c r="AE19" i="39"/>
  <c r="AG19" i="39"/>
  <c r="AN19" i="39"/>
  <c r="AP19" i="39"/>
  <c r="AW19" i="39"/>
  <c r="H28" i="39"/>
  <c r="I28" i="39" s="1"/>
  <c r="M28" i="39"/>
  <c r="O28" i="39"/>
  <c r="V28" i="39"/>
  <c r="AE28" i="39"/>
  <c r="AG28" i="39"/>
  <c r="AN28" i="39"/>
  <c r="AP28" i="39"/>
  <c r="AW28" i="39"/>
  <c r="H30" i="39"/>
  <c r="I30" i="39" s="1"/>
  <c r="M30" i="39"/>
  <c r="V30" i="39"/>
  <c r="AE30" i="39"/>
  <c r="AG30" i="39"/>
  <c r="AN30" i="39"/>
  <c r="AP30" i="39"/>
  <c r="AW30" i="39"/>
  <c r="H21" i="39"/>
  <c r="I21" i="39" s="1"/>
  <c r="M21" i="39"/>
  <c r="V21" i="39"/>
  <c r="AE21" i="39"/>
  <c r="AG21" i="39"/>
  <c r="AN21" i="39"/>
  <c r="AP21" i="39"/>
  <c r="AW21" i="39"/>
  <c r="H11" i="39"/>
  <c r="I11" i="39" s="1"/>
  <c r="M11" i="39"/>
  <c r="V11" i="39"/>
  <c r="AE11" i="39"/>
  <c r="AG11" i="39"/>
  <c r="AN11" i="39"/>
  <c r="AP11" i="39"/>
  <c r="AW11" i="39"/>
  <c r="H23" i="39"/>
  <c r="I23" i="39" s="1"/>
  <c r="M23" i="39"/>
  <c r="V23" i="39"/>
  <c r="AE23" i="39"/>
  <c r="AG23" i="39"/>
  <c r="AN23" i="39"/>
  <c r="AP23" i="39"/>
  <c r="AW23" i="39"/>
  <c r="H10" i="39"/>
  <c r="I10" i="39" s="1"/>
  <c r="M10" i="39"/>
  <c r="V10" i="39"/>
  <c r="AE10" i="39"/>
  <c r="AG10" i="39"/>
  <c r="AN10" i="39"/>
  <c r="AP10" i="39"/>
  <c r="AW10" i="39"/>
  <c r="H18" i="39"/>
  <c r="I18" i="39" s="1"/>
  <c r="M18" i="39"/>
  <c r="V18" i="39"/>
  <c r="AE18" i="39"/>
  <c r="AG18" i="39"/>
  <c r="AN18" i="39"/>
  <c r="AP18" i="39"/>
  <c r="AW18" i="39"/>
  <c r="H27" i="39"/>
  <c r="I27" i="39" s="1"/>
  <c r="M27" i="39"/>
  <c r="V27" i="39"/>
  <c r="AE27" i="39"/>
  <c r="AG27" i="39"/>
  <c r="AN27" i="39"/>
  <c r="AP27" i="39"/>
  <c r="AW27" i="39"/>
  <c r="H13" i="39"/>
  <c r="I13" i="39" s="1"/>
  <c r="M13" i="39"/>
  <c r="V13" i="39"/>
  <c r="AE13" i="39"/>
  <c r="AG13" i="39"/>
  <c r="AN13" i="39"/>
  <c r="AP13" i="39"/>
  <c r="AW13" i="39"/>
  <c r="H15" i="39"/>
  <c r="I15" i="39" s="1"/>
  <c r="M15" i="39"/>
  <c r="V15" i="39"/>
  <c r="AE15" i="39"/>
  <c r="AG15" i="39"/>
  <c r="AN15" i="39"/>
  <c r="AP15" i="39"/>
  <c r="AW15" i="39"/>
  <c r="H26" i="39"/>
  <c r="I26" i="39" s="1"/>
  <c r="M26" i="39"/>
  <c r="O26" i="39"/>
  <c r="V26" i="39"/>
  <c r="AE26" i="39"/>
  <c r="AG26" i="39"/>
  <c r="AN26" i="39"/>
  <c r="AP26" i="39"/>
  <c r="AW26" i="39"/>
  <c r="H16" i="39"/>
  <c r="I16" i="39" s="1"/>
  <c r="M16" i="39"/>
  <c r="V16" i="39"/>
  <c r="AE16" i="39"/>
  <c r="AG16" i="39"/>
  <c r="AN16" i="39"/>
  <c r="AP16" i="39"/>
  <c r="AW16" i="39"/>
  <c r="H14" i="39"/>
  <c r="I14" i="39" s="1"/>
  <c r="M14" i="39"/>
  <c r="V14" i="39"/>
  <c r="AE14" i="39"/>
  <c r="AG14" i="39"/>
  <c r="AN14" i="39"/>
  <c r="AP14" i="39"/>
  <c r="AW14" i="39"/>
  <c r="H32" i="39"/>
  <c r="I32" i="39" s="1"/>
  <c r="M32" i="39"/>
  <c r="V32" i="39"/>
  <c r="AE32" i="39"/>
  <c r="AG32" i="39"/>
  <c r="AN32" i="39"/>
  <c r="AP32" i="39"/>
  <c r="AW32" i="39"/>
  <c r="H24" i="39"/>
  <c r="I24" i="39" s="1"/>
  <c r="M24" i="39"/>
  <c r="V24" i="39"/>
  <c r="AE24" i="39"/>
  <c r="AG24" i="39"/>
  <c r="AN24" i="39"/>
  <c r="AP24" i="39"/>
  <c r="AW24" i="39"/>
  <c r="H20" i="39"/>
  <c r="I20" i="39" s="1"/>
  <c r="M20" i="39"/>
  <c r="V20" i="39"/>
  <c r="AE20" i="39"/>
  <c r="AG20" i="39"/>
  <c r="AN20" i="39"/>
  <c r="AP20" i="39"/>
  <c r="AW20" i="39"/>
  <c r="H12" i="39"/>
  <c r="I12" i="39" s="1"/>
  <c r="M12" i="39"/>
  <c r="V12" i="39"/>
  <c r="AE12" i="39"/>
  <c r="AG12" i="39"/>
  <c r="AN12" i="39"/>
  <c r="AP12" i="39"/>
  <c r="AW12" i="39"/>
  <c r="H17" i="39"/>
  <c r="I17" i="39" s="1"/>
  <c r="M17" i="39"/>
  <c r="V17" i="39"/>
  <c r="AE17" i="39"/>
  <c r="AG17" i="39"/>
  <c r="AN17" i="39"/>
  <c r="AP17" i="39"/>
  <c r="AW17" i="39"/>
  <c r="H8" i="39"/>
  <c r="I8" i="39" s="1"/>
  <c r="M8" i="39"/>
  <c r="V8" i="39"/>
  <c r="AE8" i="39"/>
  <c r="AG8" i="39"/>
  <c r="AN8" i="39"/>
  <c r="AP8" i="39"/>
  <c r="AW8" i="39"/>
  <c r="AW8" i="33"/>
  <c r="AW8" i="32"/>
  <c r="AW9" i="31"/>
  <c r="AW10" i="31"/>
  <c r="AW11" i="31"/>
  <c r="AW10" i="19"/>
  <c r="AW8" i="19"/>
  <c r="AW9" i="19"/>
  <c r="AW25" i="39"/>
  <c r="AP25" i="39"/>
  <c r="AN25" i="39"/>
  <c r="AG25" i="39"/>
  <c r="AE25" i="39"/>
  <c r="V25" i="39"/>
  <c r="M25" i="39"/>
  <c r="H25" i="39"/>
  <c r="I25" i="39" s="1"/>
  <c r="AX2" i="39"/>
  <c r="W2" i="39"/>
  <c r="O9" i="39"/>
  <c r="P9" i="39" s="1"/>
  <c r="AW13" i="38"/>
  <c r="AP13" i="38"/>
  <c r="AN13" i="38"/>
  <c r="AG13" i="38"/>
  <c r="AE13" i="38"/>
  <c r="V13" i="38"/>
  <c r="M13" i="38"/>
  <c r="H13" i="38"/>
  <c r="I13" i="38" s="1"/>
  <c r="AX2" i="38"/>
  <c r="W2" i="38"/>
  <c r="X12" i="38" s="1"/>
  <c r="Y12" i="38" s="1"/>
  <c r="AW12" i="37"/>
  <c r="AP12" i="37"/>
  <c r="AN12" i="37"/>
  <c r="AG12" i="37"/>
  <c r="AE12" i="37"/>
  <c r="V12" i="37"/>
  <c r="M12" i="37"/>
  <c r="H12" i="37"/>
  <c r="I12" i="37" s="1"/>
  <c r="AW8" i="37"/>
  <c r="AP8" i="37"/>
  <c r="AN8" i="37"/>
  <c r="AG8" i="37"/>
  <c r="AE8" i="37"/>
  <c r="V8" i="37"/>
  <c r="M8" i="37"/>
  <c r="H8" i="37"/>
  <c r="I8" i="37" s="1"/>
  <c r="AW10" i="37"/>
  <c r="AP10" i="37"/>
  <c r="AN10" i="37"/>
  <c r="AG10" i="37"/>
  <c r="AE10" i="37"/>
  <c r="V10" i="37"/>
  <c r="M10" i="37"/>
  <c r="H10" i="37"/>
  <c r="I10" i="37" s="1"/>
  <c r="AW11" i="37"/>
  <c r="AP11" i="37"/>
  <c r="AN11" i="37"/>
  <c r="AG11" i="37"/>
  <c r="AE11" i="37"/>
  <c r="V11" i="37"/>
  <c r="M11" i="37"/>
  <c r="H11" i="37"/>
  <c r="I11" i="37" s="1"/>
  <c r="AW9" i="37"/>
  <c r="AP9" i="37"/>
  <c r="AN9" i="37"/>
  <c r="AG9" i="37"/>
  <c r="AE9" i="37"/>
  <c r="V9" i="37"/>
  <c r="M9" i="37"/>
  <c r="H9" i="37"/>
  <c r="I9" i="37" s="1"/>
  <c r="AX2" i="37"/>
  <c r="AY11" i="37" s="1"/>
  <c r="AZ11" i="37" s="1"/>
  <c r="W2" i="37"/>
  <c r="W2" i="36"/>
  <c r="AW32" i="36"/>
  <c r="AP32" i="36"/>
  <c r="AN32" i="36"/>
  <c r="AG32" i="36"/>
  <c r="AE32" i="36"/>
  <c r="V32" i="36"/>
  <c r="M32" i="36"/>
  <c r="I32" i="36"/>
  <c r="H32" i="36"/>
  <c r="C32" i="36"/>
  <c r="AW31" i="36"/>
  <c r="AP31" i="36"/>
  <c r="AN31" i="36"/>
  <c r="AG31" i="36"/>
  <c r="AE31" i="36"/>
  <c r="V31" i="36"/>
  <c r="M31" i="36"/>
  <c r="I31" i="36"/>
  <c r="H31" i="36"/>
  <c r="C31" i="36"/>
  <c r="AW30" i="36"/>
  <c r="AP30" i="36"/>
  <c r="AN30" i="36"/>
  <c r="AG30" i="36"/>
  <c r="AH30" i="36" s="1"/>
  <c r="AE30" i="36"/>
  <c r="V30" i="36"/>
  <c r="M30" i="36"/>
  <c r="I30" i="36"/>
  <c r="H30" i="36"/>
  <c r="C30" i="36"/>
  <c r="AW29" i="36"/>
  <c r="AP29" i="36"/>
  <c r="AQ29" i="36" s="1"/>
  <c r="AN29" i="36"/>
  <c r="AG29" i="36"/>
  <c r="AE29" i="36"/>
  <c r="V29" i="36"/>
  <c r="M29" i="36"/>
  <c r="I29" i="36"/>
  <c r="H29" i="36"/>
  <c r="C29" i="36"/>
  <c r="AW28" i="36"/>
  <c r="AP28" i="36"/>
  <c r="AN28" i="36"/>
  <c r="AG28" i="36"/>
  <c r="AH28" i="36" s="1"/>
  <c r="AE28" i="36"/>
  <c r="V28" i="36"/>
  <c r="M28" i="36"/>
  <c r="I28" i="36"/>
  <c r="H28" i="36"/>
  <c r="C28" i="36"/>
  <c r="AW27" i="36"/>
  <c r="AP27" i="36"/>
  <c r="AQ27" i="36" s="1"/>
  <c r="AN27" i="36"/>
  <c r="AG27" i="36"/>
  <c r="AE27" i="36"/>
  <c r="AH27" i="36" s="1"/>
  <c r="V27" i="36"/>
  <c r="M27" i="36"/>
  <c r="H27" i="36"/>
  <c r="I27" i="36" s="1"/>
  <c r="C27" i="36"/>
  <c r="AW26" i="36"/>
  <c r="AP26" i="36"/>
  <c r="AQ26" i="36" s="1"/>
  <c r="AN26" i="36"/>
  <c r="AG26" i="36"/>
  <c r="AH26" i="36" s="1"/>
  <c r="AE26" i="36"/>
  <c r="V26" i="36"/>
  <c r="M26" i="36"/>
  <c r="H26" i="36"/>
  <c r="I26" i="36" s="1"/>
  <c r="C26" i="36"/>
  <c r="AW25" i="36"/>
  <c r="AP25" i="36"/>
  <c r="AQ25" i="36" s="1"/>
  <c r="AN25" i="36"/>
  <c r="AG25" i="36"/>
  <c r="AE25" i="36"/>
  <c r="V25" i="36"/>
  <c r="M25" i="36"/>
  <c r="H25" i="36"/>
  <c r="I25" i="36" s="1"/>
  <c r="C25" i="36"/>
  <c r="AW24" i="36"/>
  <c r="AP24" i="36"/>
  <c r="AN24" i="36"/>
  <c r="AQ24" i="36" s="1"/>
  <c r="AG24" i="36"/>
  <c r="AE24" i="36"/>
  <c r="V24" i="36"/>
  <c r="M24" i="36"/>
  <c r="H24" i="36"/>
  <c r="I24" i="36" s="1"/>
  <c r="C24" i="36"/>
  <c r="AW23" i="36"/>
  <c r="AP23" i="36"/>
  <c r="AN23" i="36"/>
  <c r="AG23" i="36"/>
  <c r="AE23" i="36"/>
  <c r="V23" i="36"/>
  <c r="M23" i="36"/>
  <c r="H23" i="36"/>
  <c r="I23" i="36" s="1"/>
  <c r="C23" i="36"/>
  <c r="AW22" i="36"/>
  <c r="AP22" i="36"/>
  <c r="AN22" i="36"/>
  <c r="AQ22" i="36" s="1"/>
  <c r="AG22" i="36"/>
  <c r="AE22" i="36"/>
  <c r="AH22" i="36" s="1"/>
  <c r="V22" i="36"/>
  <c r="M22" i="36"/>
  <c r="H22" i="36"/>
  <c r="I22" i="36" s="1"/>
  <c r="C22" i="36"/>
  <c r="AW21" i="36"/>
  <c r="AP21" i="36"/>
  <c r="AN21" i="36"/>
  <c r="AQ21" i="36" s="1"/>
  <c r="AG21" i="36"/>
  <c r="AE21" i="36"/>
  <c r="V21" i="36"/>
  <c r="M21" i="36"/>
  <c r="H21" i="36"/>
  <c r="I21" i="36" s="1"/>
  <c r="C21" i="36"/>
  <c r="AW20" i="36"/>
  <c r="AP20" i="36"/>
  <c r="AN20" i="36"/>
  <c r="AQ20" i="36" s="1"/>
  <c r="AG20" i="36"/>
  <c r="AE20" i="36"/>
  <c r="AH20" i="36" s="1"/>
  <c r="V20" i="36"/>
  <c r="M20" i="36"/>
  <c r="I20" i="36"/>
  <c r="H20" i="36"/>
  <c r="C20" i="36"/>
  <c r="AW19" i="36"/>
  <c r="AP19" i="36"/>
  <c r="AQ19" i="36" s="1"/>
  <c r="AN19" i="36"/>
  <c r="AG19" i="36"/>
  <c r="AH19" i="36" s="1"/>
  <c r="AE19" i="36"/>
  <c r="V19" i="36"/>
  <c r="M19" i="36"/>
  <c r="H19" i="36"/>
  <c r="I19" i="36" s="1"/>
  <c r="C19" i="36"/>
  <c r="AW18" i="36"/>
  <c r="AP18" i="36"/>
  <c r="AN18" i="36"/>
  <c r="AG18" i="36"/>
  <c r="AH18" i="36" s="1"/>
  <c r="AE18" i="36"/>
  <c r="V18" i="36"/>
  <c r="M18" i="36"/>
  <c r="H18" i="36"/>
  <c r="I18" i="36" s="1"/>
  <c r="C18" i="36"/>
  <c r="AW17" i="36"/>
  <c r="AP17" i="36"/>
  <c r="AQ17" i="36" s="1"/>
  <c r="AN17" i="36"/>
  <c r="AG17" i="36"/>
  <c r="AE17" i="36"/>
  <c r="X17" i="36"/>
  <c r="V17" i="36"/>
  <c r="M17" i="36"/>
  <c r="H17" i="36"/>
  <c r="I17" i="36" s="1"/>
  <c r="C17" i="36"/>
  <c r="AW16" i="36"/>
  <c r="AP16" i="36"/>
  <c r="AN16" i="36"/>
  <c r="AG16" i="36"/>
  <c r="AE16" i="36"/>
  <c r="V16" i="36"/>
  <c r="M16" i="36"/>
  <c r="I16" i="36"/>
  <c r="H16" i="36"/>
  <c r="C16" i="36"/>
  <c r="AW15" i="36"/>
  <c r="AP15" i="36"/>
  <c r="AN15" i="36"/>
  <c r="AG15" i="36"/>
  <c r="AE15" i="36"/>
  <c r="V15" i="36"/>
  <c r="M15" i="36"/>
  <c r="I15" i="36"/>
  <c r="H15" i="36"/>
  <c r="C15" i="36"/>
  <c r="AW14" i="36"/>
  <c r="AP14" i="36"/>
  <c r="AN14" i="36"/>
  <c r="AG14" i="36"/>
  <c r="AE14" i="36"/>
  <c r="V14" i="36"/>
  <c r="M14" i="36"/>
  <c r="I14" i="36"/>
  <c r="H14" i="36"/>
  <c r="C14" i="36"/>
  <c r="AW13" i="36"/>
  <c r="AP13" i="36"/>
  <c r="AN13" i="36"/>
  <c r="AG13" i="36"/>
  <c r="AE13" i="36"/>
  <c r="V13" i="36"/>
  <c r="M13" i="36"/>
  <c r="I13" i="36"/>
  <c r="H13" i="36"/>
  <c r="C13" i="36"/>
  <c r="AW12" i="36"/>
  <c r="AP12" i="36"/>
  <c r="AN12" i="36"/>
  <c r="AG12" i="36"/>
  <c r="AH12" i="36" s="1"/>
  <c r="AE12" i="36"/>
  <c r="V12" i="36"/>
  <c r="M12" i="36"/>
  <c r="I12" i="36"/>
  <c r="H12" i="36"/>
  <c r="C12" i="36"/>
  <c r="AW11" i="36"/>
  <c r="AP11" i="36"/>
  <c r="AQ11" i="36" s="1"/>
  <c r="AN11" i="36"/>
  <c r="AG11" i="36"/>
  <c r="AE11" i="36"/>
  <c r="AH11" i="36" s="1"/>
  <c r="V11" i="36"/>
  <c r="O11" i="36"/>
  <c r="M11" i="36"/>
  <c r="H11" i="36"/>
  <c r="I11" i="36" s="1"/>
  <c r="C11" i="36"/>
  <c r="AW10" i="36"/>
  <c r="AP10" i="36"/>
  <c r="AN10" i="36"/>
  <c r="AG10" i="36"/>
  <c r="AE10" i="36"/>
  <c r="V10" i="36"/>
  <c r="M10" i="36"/>
  <c r="H10" i="36"/>
  <c r="I10" i="36" s="1"/>
  <c r="C10" i="36"/>
  <c r="AW9" i="36"/>
  <c r="AP9" i="36"/>
  <c r="AQ9" i="36" s="1"/>
  <c r="AN9" i="36"/>
  <c r="AG9" i="36"/>
  <c r="AE9" i="36"/>
  <c r="X9" i="36"/>
  <c r="V9" i="36"/>
  <c r="M9" i="36"/>
  <c r="H9" i="36"/>
  <c r="I9" i="36" s="1"/>
  <c r="C9" i="36"/>
  <c r="AW8" i="36"/>
  <c r="AP8" i="36"/>
  <c r="AN8" i="36"/>
  <c r="AG8" i="36"/>
  <c r="AE8" i="36"/>
  <c r="V8" i="36"/>
  <c r="M8" i="36"/>
  <c r="I8" i="36"/>
  <c r="H8" i="36"/>
  <c r="C8" i="36"/>
  <c r="AX2" i="36"/>
  <c r="AY31" i="36" s="1"/>
  <c r="X26" i="36"/>
  <c r="Y26" i="36" s="1"/>
  <c r="N2" i="36"/>
  <c r="O27" i="36" s="1"/>
  <c r="AW10" i="35"/>
  <c r="AP10" i="35"/>
  <c r="AN10" i="35"/>
  <c r="AG10" i="35"/>
  <c r="AE10" i="35"/>
  <c r="V10" i="35"/>
  <c r="M10" i="35"/>
  <c r="H10" i="35"/>
  <c r="I10" i="35" s="1"/>
  <c r="AW9" i="35"/>
  <c r="AP9" i="35"/>
  <c r="AN9" i="35"/>
  <c r="AG9" i="35"/>
  <c r="AE9" i="35"/>
  <c r="V9" i="35"/>
  <c r="M9" i="35"/>
  <c r="I9" i="35"/>
  <c r="AW11" i="35"/>
  <c r="AP11" i="35"/>
  <c r="AN11" i="35"/>
  <c r="AG11" i="35"/>
  <c r="AE11" i="35"/>
  <c r="V11" i="35"/>
  <c r="M11" i="35"/>
  <c r="H11" i="35"/>
  <c r="I11" i="35" s="1"/>
  <c r="AW8" i="35"/>
  <c r="AP8" i="35"/>
  <c r="AN8" i="35"/>
  <c r="AG8" i="35"/>
  <c r="AE8" i="35"/>
  <c r="V8" i="35"/>
  <c r="M8" i="35"/>
  <c r="H8" i="35"/>
  <c r="I8" i="35" s="1"/>
  <c r="AX2" i="35"/>
  <c r="W2" i="35"/>
  <c r="N2" i="35"/>
  <c r="AX2" i="34"/>
  <c r="W2" i="34"/>
  <c r="N2" i="34"/>
  <c r="H8" i="34"/>
  <c r="I8" i="34" s="1"/>
  <c r="AW8" i="34"/>
  <c r="AP8" i="34"/>
  <c r="AN8" i="34"/>
  <c r="AG8" i="34"/>
  <c r="AE8" i="34"/>
  <c r="V8" i="34"/>
  <c r="M8" i="34"/>
  <c r="AZ8" i="33"/>
  <c r="AP8" i="33"/>
  <c r="AN8" i="33"/>
  <c r="AG8" i="33"/>
  <c r="AE8" i="33"/>
  <c r="V8" i="33"/>
  <c r="Q8" i="33"/>
  <c r="R8" i="33" s="1"/>
  <c r="I8" i="33"/>
  <c r="BA2" i="33"/>
  <c r="BB9" i="33" s="1"/>
  <c r="BC9" i="33" s="1"/>
  <c r="W2" i="33"/>
  <c r="X11" i="33" s="1"/>
  <c r="J2" i="33"/>
  <c r="K9" i="33" s="1"/>
  <c r="J2" i="32"/>
  <c r="AZ8" i="32"/>
  <c r="AP8" i="32"/>
  <c r="AN8" i="32"/>
  <c r="AG8" i="32"/>
  <c r="AE8" i="32"/>
  <c r="V8" i="32"/>
  <c r="Q8" i="32"/>
  <c r="R8" i="32" s="1"/>
  <c r="I8" i="32"/>
  <c r="BA2" i="32"/>
  <c r="W2" i="32"/>
  <c r="AZ8" i="31"/>
  <c r="AP8" i="31"/>
  <c r="AN8" i="31"/>
  <c r="AG8" i="31"/>
  <c r="AE8" i="31"/>
  <c r="V8" i="31"/>
  <c r="Q8" i="31"/>
  <c r="R8" i="31" s="1"/>
  <c r="I8" i="31"/>
  <c r="AZ9" i="31"/>
  <c r="AP9" i="31"/>
  <c r="AN9" i="31"/>
  <c r="AG9" i="31"/>
  <c r="AE9" i="31"/>
  <c r="V9" i="31"/>
  <c r="Q9" i="31"/>
  <c r="R9" i="31" s="1"/>
  <c r="I9" i="31"/>
  <c r="AZ12" i="31"/>
  <c r="AP12" i="31"/>
  <c r="AN12" i="31"/>
  <c r="AG12" i="31"/>
  <c r="AE12" i="31"/>
  <c r="V12" i="31"/>
  <c r="Q12" i="31"/>
  <c r="R12" i="31" s="1"/>
  <c r="I12" i="31"/>
  <c r="AZ10" i="31"/>
  <c r="AP10" i="31"/>
  <c r="AN10" i="31"/>
  <c r="AG10" i="31"/>
  <c r="AE10" i="31"/>
  <c r="V10" i="31"/>
  <c r="Q10" i="31"/>
  <c r="R10" i="31" s="1"/>
  <c r="I10" i="31"/>
  <c r="AZ11" i="31"/>
  <c r="AP11" i="31"/>
  <c r="AN11" i="31"/>
  <c r="AG11" i="31"/>
  <c r="AE11" i="31"/>
  <c r="V11" i="31"/>
  <c r="Q11" i="31"/>
  <c r="R11" i="31" s="1"/>
  <c r="I11" i="31"/>
  <c r="BA2" i="31"/>
  <c r="BB11" i="31" s="1"/>
  <c r="BC11" i="31" s="1"/>
  <c r="W2" i="31"/>
  <c r="X9" i="31" s="1"/>
  <c r="J2" i="31"/>
  <c r="BA2" i="19"/>
  <c r="BB10" i="19" s="1"/>
  <c r="AZ10" i="19"/>
  <c r="AZ8" i="19"/>
  <c r="AZ9" i="19"/>
  <c r="AP10" i="19"/>
  <c r="AN10" i="19"/>
  <c r="AP8" i="19"/>
  <c r="AN8" i="19"/>
  <c r="AP9" i="19"/>
  <c r="AN9" i="19"/>
  <c r="AE9" i="19"/>
  <c r="AG9" i="19"/>
  <c r="AE8" i="19"/>
  <c r="AG8" i="19"/>
  <c r="AE10" i="19"/>
  <c r="AG10" i="19"/>
  <c r="V9" i="19"/>
  <c r="V8" i="19"/>
  <c r="V10" i="19"/>
  <c r="W2" i="19"/>
  <c r="J2" i="19"/>
  <c r="K10" i="19" s="1"/>
  <c r="I9" i="19"/>
  <c r="Q9" i="19"/>
  <c r="R9" i="19" s="1"/>
  <c r="I8" i="19"/>
  <c r="K8" i="19"/>
  <c r="Q8" i="19"/>
  <c r="R8" i="19" s="1"/>
  <c r="I10" i="19"/>
  <c r="Q10" i="19"/>
  <c r="R10" i="19" s="1"/>
  <c r="AH29" i="39" l="1"/>
  <c r="AH9" i="38"/>
  <c r="P12" i="38"/>
  <c r="AQ9" i="38"/>
  <c r="P9" i="38"/>
  <c r="P8" i="38"/>
  <c r="Y11" i="33"/>
  <c r="AQ10" i="33"/>
  <c r="O17" i="39"/>
  <c r="P17" i="39" s="1"/>
  <c r="O18" i="39"/>
  <c r="P18" i="39" s="1"/>
  <c r="AQ21" i="39"/>
  <c r="AQ20" i="39"/>
  <c r="AH20" i="39"/>
  <c r="AQ22" i="39"/>
  <c r="AQ29" i="39"/>
  <c r="P33" i="39"/>
  <c r="P31" i="39"/>
  <c r="AQ9" i="39"/>
  <c r="X32" i="39"/>
  <c r="AY31" i="39"/>
  <c r="AZ31" i="39" s="1"/>
  <c r="AH16" i="39"/>
  <c r="X16" i="39"/>
  <c r="Y16" i="39" s="1"/>
  <c r="AQ13" i="39"/>
  <c r="AH13" i="39"/>
  <c r="AH19" i="39"/>
  <c r="O19" i="39"/>
  <c r="P19" i="39" s="1"/>
  <c r="AY20" i="39"/>
  <c r="AZ20" i="39" s="1"/>
  <c r="AY16" i="39"/>
  <c r="AZ16" i="39" s="1"/>
  <c r="AY13" i="39"/>
  <c r="AZ13" i="39" s="1"/>
  <c r="AY23" i="39"/>
  <c r="AZ23" i="39" s="1"/>
  <c r="AY21" i="39"/>
  <c r="AY22" i="39"/>
  <c r="AZ22" i="39" s="1"/>
  <c r="AY29" i="39"/>
  <c r="AZ29" i="39" s="1"/>
  <c r="O8" i="39"/>
  <c r="P8" i="39" s="1"/>
  <c r="O12" i="39"/>
  <c r="AY24" i="39"/>
  <c r="AZ24" i="39" s="1"/>
  <c r="O32" i="39"/>
  <c r="P32" i="39" s="1"/>
  <c r="AY14" i="39"/>
  <c r="AZ14" i="39" s="1"/>
  <c r="O15" i="39"/>
  <c r="AY27" i="39"/>
  <c r="AZ27" i="39" s="1"/>
  <c r="AY10" i="39"/>
  <c r="AQ10" i="39"/>
  <c r="AH10" i="39"/>
  <c r="O11" i="39"/>
  <c r="P11" i="39" s="1"/>
  <c r="AY30" i="39"/>
  <c r="AZ30" i="39" s="1"/>
  <c r="AH30" i="39"/>
  <c r="AQ28" i="39"/>
  <c r="AY9" i="39"/>
  <c r="AZ9" i="39" s="1"/>
  <c r="AQ8" i="39"/>
  <c r="AH17" i="39"/>
  <c r="P12" i="39"/>
  <c r="AH24" i="39"/>
  <c r="Y32" i="39"/>
  <c r="AQ14" i="39"/>
  <c r="AH14" i="39"/>
  <c r="P15" i="39"/>
  <c r="AH27" i="39"/>
  <c r="AH23" i="39"/>
  <c r="AH11" i="39"/>
  <c r="AZ21" i="39"/>
  <c r="AQ30" i="39"/>
  <c r="P28" i="39"/>
  <c r="AH31" i="39"/>
  <c r="AQ10" i="38"/>
  <c r="AH10" i="38"/>
  <c r="AH11" i="38"/>
  <c r="AQ12" i="38"/>
  <c r="AQ14" i="38"/>
  <c r="AH14" i="38"/>
  <c r="AH8" i="38"/>
  <c r="X11" i="38"/>
  <c r="Y11" i="38" s="1"/>
  <c r="AY12" i="38"/>
  <c r="AZ12" i="38" s="1"/>
  <c r="AY9" i="38"/>
  <c r="AZ9" i="38" s="1"/>
  <c r="AY14" i="38"/>
  <c r="AZ14" i="38" s="1"/>
  <c r="X14" i="38"/>
  <c r="Y14" i="38" s="1"/>
  <c r="O14" i="38"/>
  <c r="AY8" i="38"/>
  <c r="AZ8" i="38" s="1"/>
  <c r="AQ8" i="38"/>
  <c r="X8" i="38"/>
  <c r="Y8" i="38" s="1"/>
  <c r="AY10" i="38"/>
  <c r="AZ10" i="38" s="1"/>
  <c r="X10" i="38"/>
  <c r="Y10" i="38" s="1"/>
  <c r="O10" i="38"/>
  <c r="P10" i="38" s="1"/>
  <c r="AY11" i="38"/>
  <c r="AZ11" i="38" s="1"/>
  <c r="AQ11" i="38"/>
  <c r="O11" i="38"/>
  <c r="P11" i="38" s="1"/>
  <c r="AH12" i="38"/>
  <c r="X9" i="38"/>
  <c r="Y9" i="38" s="1"/>
  <c r="P14" i="38"/>
  <c r="AQ12" i="37"/>
  <c r="AQ9" i="33"/>
  <c r="BB11" i="33"/>
  <c r="BC11" i="33" s="1"/>
  <c r="AQ11" i="33"/>
  <c r="AH11" i="33"/>
  <c r="K11" i="33"/>
  <c r="X10" i="33"/>
  <c r="Y10" i="33" s="1"/>
  <c r="X9" i="33"/>
  <c r="Y9" i="33" s="1"/>
  <c r="BB10" i="33"/>
  <c r="BC10" i="33" s="1"/>
  <c r="AH10" i="33"/>
  <c r="K10" i="33"/>
  <c r="AH9" i="33"/>
  <c r="L10" i="33"/>
  <c r="L11" i="33"/>
  <c r="L9" i="33"/>
  <c r="AH9" i="19"/>
  <c r="AQ9" i="19"/>
  <c r="X9" i="39"/>
  <c r="Y9" i="39" s="1"/>
  <c r="X29" i="39"/>
  <c r="Y29" i="39" s="1"/>
  <c r="X22" i="39"/>
  <c r="Y22" i="39" s="1"/>
  <c r="X30" i="39"/>
  <c r="Y30" i="39" s="1"/>
  <c r="X21" i="39"/>
  <c r="Y21" i="39" s="1"/>
  <c r="X10" i="39"/>
  <c r="Y10" i="39" s="1"/>
  <c r="X13" i="39"/>
  <c r="Y13" i="39" s="1"/>
  <c r="X15" i="39"/>
  <c r="Y15" i="39" s="1"/>
  <c r="X14" i="39"/>
  <c r="Y14" i="39" s="1"/>
  <c r="X20" i="39"/>
  <c r="Y20" i="39" s="1"/>
  <c r="X12" i="39"/>
  <c r="Y12" i="39" s="1"/>
  <c r="X31" i="39"/>
  <c r="Y31" i="39" s="1"/>
  <c r="X19" i="39"/>
  <c r="Y19" i="39" s="1"/>
  <c r="X28" i="39"/>
  <c r="Y28" i="39" s="1"/>
  <c r="X11" i="39"/>
  <c r="Y11" i="39" s="1"/>
  <c r="X23" i="39"/>
  <c r="Y23" i="39" s="1"/>
  <c r="X18" i="39"/>
  <c r="Y18" i="39" s="1"/>
  <c r="X8" i="39"/>
  <c r="Y8" i="39" s="1"/>
  <c r="X17" i="39"/>
  <c r="Y17" i="39" s="1"/>
  <c r="X24" i="39"/>
  <c r="Y24" i="39" s="1"/>
  <c r="X26" i="39"/>
  <c r="Y26" i="39" s="1"/>
  <c r="X27" i="39"/>
  <c r="Y27" i="39" s="1"/>
  <c r="AY8" i="39"/>
  <c r="AZ8" i="39" s="1"/>
  <c r="AY17" i="39"/>
  <c r="AZ17" i="39" s="1"/>
  <c r="AQ17" i="39"/>
  <c r="AY12" i="39"/>
  <c r="AZ12" i="39" s="1"/>
  <c r="AH12" i="39"/>
  <c r="O20" i="39"/>
  <c r="P20" i="39" s="1"/>
  <c r="O24" i="39"/>
  <c r="P24" i="39" s="1"/>
  <c r="AY32" i="39"/>
  <c r="AZ32" i="39" s="1"/>
  <c r="AQ32" i="39"/>
  <c r="AH32" i="39"/>
  <c r="O14" i="39"/>
  <c r="P14" i="39" s="1"/>
  <c r="O16" i="39"/>
  <c r="P16" i="39" s="1"/>
  <c r="AY26" i="39"/>
  <c r="AZ26" i="39" s="1"/>
  <c r="AQ26" i="39"/>
  <c r="AH26" i="39"/>
  <c r="AY15" i="39"/>
  <c r="AZ15" i="39" s="1"/>
  <c r="AH15" i="39"/>
  <c r="O13" i="39"/>
  <c r="P13" i="39" s="1"/>
  <c r="O27" i="39"/>
  <c r="P27" i="39" s="1"/>
  <c r="AY18" i="39"/>
  <c r="AZ18" i="39" s="1"/>
  <c r="AQ18" i="39"/>
  <c r="AH18" i="39"/>
  <c r="O10" i="39"/>
  <c r="P10" i="39" s="1"/>
  <c r="O23" i="39"/>
  <c r="P23" i="39" s="1"/>
  <c r="AY11" i="39"/>
  <c r="AZ11" i="39" s="1"/>
  <c r="AQ11" i="39"/>
  <c r="O21" i="39"/>
  <c r="P21" i="39" s="1"/>
  <c r="O30" i="39"/>
  <c r="P30" i="39" s="1"/>
  <c r="AY28" i="39"/>
  <c r="AZ28" i="39" s="1"/>
  <c r="AY19" i="39"/>
  <c r="AZ19" i="39" s="1"/>
  <c r="AQ19" i="39"/>
  <c r="O22" i="39"/>
  <c r="P22" i="39" s="1"/>
  <c r="O29" i="39"/>
  <c r="P29" i="39" s="1"/>
  <c r="AQ31" i="39"/>
  <c r="AQ13" i="38"/>
  <c r="BB9" i="19"/>
  <c r="BC9" i="19" s="1"/>
  <c r="BB8" i="19"/>
  <c r="BC8" i="19" s="1"/>
  <c r="AH8" i="39"/>
  <c r="AQ12" i="39"/>
  <c r="AQ24" i="39"/>
  <c r="AQ16" i="39"/>
  <c r="P26" i="39"/>
  <c r="AQ15" i="39"/>
  <c r="AQ27" i="39"/>
  <c r="AZ10" i="39"/>
  <c r="AQ23" i="39"/>
  <c r="AH21" i="39"/>
  <c r="AH28" i="39"/>
  <c r="AH22" i="39"/>
  <c r="AH9" i="39"/>
  <c r="AH11" i="37"/>
  <c r="AQ10" i="37"/>
  <c r="AQ8" i="37"/>
  <c r="AQ8" i="35"/>
  <c r="O9" i="35"/>
  <c r="P9" i="35" s="1"/>
  <c r="AQ9" i="35"/>
  <c r="AH10" i="35"/>
  <c r="Y9" i="31"/>
  <c r="AQ10" i="31"/>
  <c r="AH12" i="31"/>
  <c r="X8" i="32"/>
  <c r="Y8" i="32" s="1"/>
  <c r="AQ12" i="31"/>
  <c r="AH10" i="19"/>
  <c r="X10" i="19"/>
  <c r="Y10" i="19" s="1"/>
  <c r="K11" i="31"/>
  <c r="L11" i="31" s="1"/>
  <c r="K9" i="31"/>
  <c r="L9" i="31" s="1"/>
  <c r="X11" i="35"/>
  <c r="Y11" i="35" s="1"/>
  <c r="X8" i="35"/>
  <c r="Y8" i="35" s="1"/>
  <c r="X10" i="35"/>
  <c r="Y10" i="35" s="1"/>
  <c r="P26" i="36"/>
  <c r="AQ8" i="19"/>
  <c r="AQ10" i="19"/>
  <c r="BC10" i="19"/>
  <c r="AQ11" i="31"/>
  <c r="AH10" i="31"/>
  <c r="AH9" i="31"/>
  <c r="K8" i="32"/>
  <c r="L8" i="32" s="1"/>
  <c r="AQ18" i="36"/>
  <c r="X25" i="36"/>
  <c r="X10" i="36"/>
  <c r="Y10" i="36" s="1"/>
  <c r="AH8" i="33"/>
  <c r="BB8" i="33"/>
  <c r="BC8" i="33" s="1"/>
  <c r="O11" i="35"/>
  <c r="P11" i="35" s="1"/>
  <c r="AH11" i="35"/>
  <c r="AQ11" i="35"/>
  <c r="AH9" i="35"/>
  <c r="AQ10" i="35"/>
  <c r="P27" i="36"/>
  <c r="AQ8" i="36"/>
  <c r="Y9" i="36"/>
  <c r="AH9" i="36"/>
  <c r="O10" i="36"/>
  <c r="P10" i="36" s="1"/>
  <c r="AH10" i="36"/>
  <c r="AQ10" i="36"/>
  <c r="AR27" i="36" s="1"/>
  <c r="AS27" i="36" s="1"/>
  <c r="P11" i="36"/>
  <c r="AH13" i="36"/>
  <c r="AQ13" i="36"/>
  <c r="AQ14" i="36"/>
  <c r="AQ15" i="36"/>
  <c r="AH16" i="36"/>
  <c r="AH17" i="36"/>
  <c r="O18" i="36"/>
  <c r="P18" i="36" s="1"/>
  <c r="O26" i="36"/>
  <c r="AQ28" i="36"/>
  <c r="AH29" i="36"/>
  <c r="AQ31" i="36"/>
  <c r="AH32" i="36"/>
  <c r="AQ32" i="36"/>
  <c r="AR32" i="36" s="1"/>
  <c r="AS32" i="36" s="1"/>
  <c r="AQ9" i="37"/>
  <c r="O10" i="37"/>
  <c r="P10" i="37" s="1"/>
  <c r="AH8" i="37"/>
  <c r="AH12" i="37"/>
  <c r="AH13" i="38"/>
  <c r="AH25" i="39"/>
  <c r="AQ25" i="39"/>
  <c r="X25" i="39"/>
  <c r="Y25" i="39" s="1"/>
  <c r="AY25" i="39"/>
  <c r="AZ25" i="39" s="1"/>
  <c r="O25" i="39"/>
  <c r="P25" i="39" s="1"/>
  <c r="O13" i="38"/>
  <c r="P13" i="38" s="1"/>
  <c r="AY13" i="38"/>
  <c r="AZ13" i="38" s="1"/>
  <c r="X13" i="38"/>
  <c r="Y13" i="38" s="1"/>
  <c r="Z11" i="38" s="1"/>
  <c r="AA11" i="38" s="1"/>
  <c r="AQ11" i="37"/>
  <c r="AH10" i="37"/>
  <c r="AH9" i="37"/>
  <c r="O9" i="37"/>
  <c r="P9" i="37" s="1"/>
  <c r="AY12" i="37"/>
  <c r="AZ12" i="37" s="1"/>
  <c r="AY8" i="37"/>
  <c r="AZ8" i="37" s="1"/>
  <c r="AY9" i="37"/>
  <c r="AZ9" i="37" s="1"/>
  <c r="X8" i="37"/>
  <c r="Y8" i="37" s="1"/>
  <c r="O12" i="37"/>
  <c r="P12" i="37" s="1"/>
  <c r="X12" i="37"/>
  <c r="Y12" i="37" s="1"/>
  <c r="X9" i="37"/>
  <c r="Y9" i="37" s="1"/>
  <c r="O11" i="37"/>
  <c r="P11" i="37" s="1"/>
  <c r="AY10" i="37"/>
  <c r="AZ10" i="37" s="1"/>
  <c r="X11" i="37"/>
  <c r="Y11" i="37" s="1"/>
  <c r="X10" i="37"/>
  <c r="Y10" i="37" s="1"/>
  <c r="O8" i="37"/>
  <c r="P8" i="37" s="1"/>
  <c r="AQ12" i="36"/>
  <c r="AQ16" i="36"/>
  <c r="AR16" i="36" s="1"/>
  <c r="AS16" i="36" s="1"/>
  <c r="AQ23" i="36"/>
  <c r="AQ30" i="36"/>
  <c r="AR24" i="36" s="1"/>
  <c r="AS24" i="36" s="1"/>
  <c r="AH21" i="36"/>
  <c r="AH31" i="36"/>
  <c r="AI31" i="36" s="1"/>
  <c r="AJ31" i="36" s="1"/>
  <c r="AH15" i="36"/>
  <c r="B31" i="36"/>
  <c r="B15" i="36"/>
  <c r="AH23" i="36"/>
  <c r="AH8" i="36"/>
  <c r="AH24" i="36"/>
  <c r="AH14" i="36"/>
  <c r="AI11" i="36" s="1"/>
  <c r="AJ11" i="36" s="1"/>
  <c r="AH25" i="36"/>
  <c r="B28" i="36"/>
  <c r="B24" i="36"/>
  <c r="B30" i="36"/>
  <c r="B27" i="36"/>
  <c r="B18" i="36"/>
  <c r="B9" i="36"/>
  <c r="Y17" i="36"/>
  <c r="B25" i="36"/>
  <c r="B10" i="36"/>
  <c r="B22" i="36"/>
  <c r="B26" i="36"/>
  <c r="B16" i="36"/>
  <c r="Y25" i="36"/>
  <c r="B32" i="36"/>
  <c r="B23" i="36"/>
  <c r="B17" i="36"/>
  <c r="AR17" i="36"/>
  <c r="AS17" i="36" s="1"/>
  <c r="AR20" i="36"/>
  <c r="AS20" i="36" s="1"/>
  <c r="AI25" i="36"/>
  <c r="AJ25" i="36" s="1"/>
  <c r="AR14" i="36"/>
  <c r="AS14" i="36" s="1"/>
  <c r="AR30" i="36"/>
  <c r="AS30" i="36" s="1"/>
  <c r="AR18" i="36"/>
  <c r="AS18" i="36" s="1"/>
  <c r="AR25" i="36"/>
  <c r="AS25" i="36" s="1"/>
  <c r="AR28" i="36"/>
  <c r="AS28" i="36" s="1"/>
  <c r="AI12" i="36"/>
  <c r="AJ12" i="36" s="1"/>
  <c r="AI23" i="36"/>
  <c r="AJ23" i="36" s="1"/>
  <c r="AI13" i="36"/>
  <c r="AJ13" i="36" s="1"/>
  <c r="AZ31" i="36"/>
  <c r="AI30" i="36"/>
  <c r="AJ30" i="36" s="1"/>
  <c r="AR19" i="36"/>
  <c r="AS19" i="36" s="1"/>
  <c r="AI24" i="36"/>
  <c r="AJ24" i="36" s="1"/>
  <c r="AR10" i="36"/>
  <c r="AS10" i="36" s="1"/>
  <c r="AI14" i="36"/>
  <c r="AJ14" i="36" s="1"/>
  <c r="O8" i="36"/>
  <c r="P8" i="36" s="1"/>
  <c r="AY12" i="36"/>
  <c r="AZ12" i="36" s="1"/>
  <c r="X15" i="36"/>
  <c r="Y15" i="36" s="1"/>
  <c r="O16" i="36"/>
  <c r="P16" i="36" s="1"/>
  <c r="AY20" i="36"/>
  <c r="AZ20" i="36" s="1"/>
  <c r="X23" i="36"/>
  <c r="Y23" i="36" s="1"/>
  <c r="O24" i="36"/>
  <c r="P24" i="36" s="1"/>
  <c r="AY28" i="36"/>
  <c r="AZ28" i="36" s="1"/>
  <c r="X31" i="36"/>
  <c r="Y31" i="36" s="1"/>
  <c r="O32" i="36"/>
  <c r="P32" i="36" s="1"/>
  <c r="AY9" i="36"/>
  <c r="AZ9" i="36" s="1"/>
  <c r="X12" i="36"/>
  <c r="Y12" i="36" s="1"/>
  <c r="O13" i="36"/>
  <c r="P13" i="36" s="1"/>
  <c r="B14" i="36"/>
  <c r="AY17" i="36"/>
  <c r="AZ17" i="36" s="1"/>
  <c r="X20" i="36"/>
  <c r="Y20" i="36" s="1"/>
  <c r="O21" i="36"/>
  <c r="P21" i="36" s="1"/>
  <c r="AY25" i="36"/>
  <c r="AZ25" i="36" s="1"/>
  <c r="X28" i="36"/>
  <c r="Y28" i="36" s="1"/>
  <c r="O29" i="36"/>
  <c r="P29" i="36" s="1"/>
  <c r="AY14" i="36"/>
  <c r="AZ14" i="36" s="1"/>
  <c r="B19" i="36"/>
  <c r="AY22" i="36"/>
  <c r="AZ22" i="36" s="1"/>
  <c r="B8" i="36"/>
  <c r="AY11" i="36"/>
  <c r="AZ11" i="36" s="1"/>
  <c r="X14" i="36"/>
  <c r="Y14" i="36" s="1"/>
  <c r="O15" i="36"/>
  <c r="P15" i="36" s="1"/>
  <c r="AY19" i="36"/>
  <c r="AZ19" i="36" s="1"/>
  <c r="X22" i="36"/>
  <c r="Y22" i="36" s="1"/>
  <c r="O23" i="36"/>
  <c r="P23" i="36" s="1"/>
  <c r="AY27" i="36"/>
  <c r="AZ27" i="36" s="1"/>
  <c r="X30" i="36"/>
  <c r="Y30" i="36" s="1"/>
  <c r="O31" i="36"/>
  <c r="P31" i="36" s="1"/>
  <c r="AY8" i="36"/>
  <c r="AZ8" i="36" s="1"/>
  <c r="X11" i="36"/>
  <c r="Y11" i="36" s="1"/>
  <c r="O12" i="36"/>
  <c r="P12" i="36" s="1"/>
  <c r="B13" i="36"/>
  <c r="AY16" i="36"/>
  <c r="AZ16" i="36" s="1"/>
  <c r="X19" i="36"/>
  <c r="Y19" i="36" s="1"/>
  <c r="O20" i="36"/>
  <c r="P20" i="36" s="1"/>
  <c r="B21" i="36"/>
  <c r="AY24" i="36"/>
  <c r="AZ24" i="36" s="1"/>
  <c r="X27" i="36"/>
  <c r="Y27" i="36" s="1"/>
  <c r="O28" i="36"/>
  <c r="P28" i="36" s="1"/>
  <c r="B29" i="36"/>
  <c r="AY32" i="36"/>
  <c r="AZ32" i="36" s="1"/>
  <c r="X8" i="36"/>
  <c r="Y8" i="36" s="1"/>
  <c r="O9" i="36"/>
  <c r="P9" i="36" s="1"/>
  <c r="AY13" i="36"/>
  <c r="AZ13" i="36" s="1"/>
  <c r="X16" i="36"/>
  <c r="Y16" i="36" s="1"/>
  <c r="O17" i="36"/>
  <c r="P17" i="36" s="1"/>
  <c r="AY21" i="36"/>
  <c r="AZ21" i="36" s="1"/>
  <c r="X24" i="36"/>
  <c r="Y24" i="36" s="1"/>
  <c r="O25" i="36"/>
  <c r="P25" i="36" s="1"/>
  <c r="AY29" i="36"/>
  <c r="AZ29" i="36" s="1"/>
  <c r="X32" i="36"/>
  <c r="Y32" i="36" s="1"/>
  <c r="B11" i="36"/>
  <c r="AY30" i="36"/>
  <c r="AZ30" i="36" s="1"/>
  <c r="AY10" i="36"/>
  <c r="AZ10" i="36" s="1"/>
  <c r="X13" i="36"/>
  <c r="Y13" i="36" s="1"/>
  <c r="O14" i="36"/>
  <c r="P14" i="36" s="1"/>
  <c r="AY18" i="36"/>
  <c r="AZ18" i="36" s="1"/>
  <c r="X21" i="36"/>
  <c r="Y21" i="36" s="1"/>
  <c r="O22" i="36"/>
  <c r="P22" i="36" s="1"/>
  <c r="AY26" i="36"/>
  <c r="AZ26" i="36" s="1"/>
  <c r="X29" i="36"/>
  <c r="Y29" i="36" s="1"/>
  <c r="O30" i="36"/>
  <c r="P30" i="36" s="1"/>
  <c r="B12" i="36"/>
  <c r="AY15" i="36"/>
  <c r="AZ15" i="36" s="1"/>
  <c r="X18" i="36"/>
  <c r="Y18" i="36" s="1"/>
  <c r="O19" i="36"/>
  <c r="P19" i="36" s="1"/>
  <c r="B20" i="36"/>
  <c r="AY23" i="36"/>
  <c r="AZ23" i="36" s="1"/>
  <c r="AH8" i="35"/>
  <c r="AY8" i="35"/>
  <c r="AZ8" i="35" s="1"/>
  <c r="AY9" i="35"/>
  <c r="AZ9" i="35" s="1"/>
  <c r="AY10" i="35"/>
  <c r="AZ10" i="35" s="1"/>
  <c r="AY11" i="35"/>
  <c r="AZ11" i="35" s="1"/>
  <c r="O8" i="35"/>
  <c r="P8" i="35" s="1"/>
  <c r="X9" i="35"/>
  <c r="Y9" i="35" s="1"/>
  <c r="O10" i="35"/>
  <c r="P10" i="35" s="1"/>
  <c r="AH8" i="34"/>
  <c r="AQ8" i="34"/>
  <c r="AY8" i="34"/>
  <c r="AZ8" i="34" s="1"/>
  <c r="X8" i="34"/>
  <c r="Y8" i="34" s="1"/>
  <c r="O8" i="34"/>
  <c r="P8" i="34" s="1"/>
  <c r="AQ8" i="33"/>
  <c r="K8" i="33"/>
  <c r="L8" i="33" s="1"/>
  <c r="X8" i="33"/>
  <c r="Y8" i="33" s="1"/>
  <c r="AQ8" i="32"/>
  <c r="AH8" i="32"/>
  <c r="BB8" i="32"/>
  <c r="BC8" i="32" s="1"/>
  <c r="AH8" i="31"/>
  <c r="AH11" i="31"/>
  <c r="AQ8" i="31"/>
  <c r="AQ9" i="31"/>
  <c r="X11" i="31"/>
  <c r="Y11" i="31" s="1"/>
  <c r="BB12" i="31"/>
  <c r="BC12" i="31" s="1"/>
  <c r="BB10" i="31"/>
  <c r="BC10" i="31" s="1"/>
  <c r="BB8" i="31"/>
  <c r="BC8" i="31" s="1"/>
  <c r="BB9" i="31"/>
  <c r="BC9" i="31" s="1"/>
  <c r="X10" i="31"/>
  <c r="Y10" i="31" s="1"/>
  <c r="X8" i="31"/>
  <c r="Y8" i="31" s="1"/>
  <c r="X12" i="31"/>
  <c r="Y12" i="31" s="1"/>
  <c r="K10" i="31"/>
  <c r="L10" i="31" s="1"/>
  <c r="K12" i="31"/>
  <c r="L12" i="31" s="1"/>
  <c r="K8" i="31"/>
  <c r="L8" i="31" s="1"/>
  <c r="AH8" i="19"/>
  <c r="X8" i="19"/>
  <c r="Y8" i="19" s="1"/>
  <c r="X9" i="19"/>
  <c r="Y9" i="19" s="1"/>
  <c r="L10" i="19"/>
  <c r="L8" i="19"/>
  <c r="K9" i="19"/>
  <c r="L9" i="19" s="1"/>
  <c r="BA33" i="39" l="1"/>
  <c r="AI33" i="39"/>
  <c r="Z33" i="39"/>
  <c r="AR33" i="39"/>
  <c r="BA11" i="38"/>
  <c r="BB11" i="38" s="1"/>
  <c r="AR14" i="38"/>
  <c r="AR9" i="35"/>
  <c r="AS9" i="35" s="1"/>
  <c r="AI12" i="38"/>
  <c r="AJ12" i="38" s="1"/>
  <c r="AR10" i="33"/>
  <c r="AS10" i="33" s="1"/>
  <c r="BD11" i="33"/>
  <c r="BE11" i="33" s="1"/>
  <c r="AI20" i="39"/>
  <c r="AJ20" i="39" s="1"/>
  <c r="Z17" i="39"/>
  <c r="AA17" i="39" s="1"/>
  <c r="AR10" i="38"/>
  <c r="AS10" i="38" s="1"/>
  <c r="AR13" i="38"/>
  <c r="AS13" i="38" s="1"/>
  <c r="AR9" i="38"/>
  <c r="AS9" i="38" s="1"/>
  <c r="Z10" i="38"/>
  <c r="AA10" i="38" s="1"/>
  <c r="Z14" i="38"/>
  <c r="AA14" i="38" s="1"/>
  <c r="AI10" i="38"/>
  <c r="AJ10" i="38" s="1"/>
  <c r="AR11" i="38"/>
  <c r="AS11" i="38" s="1"/>
  <c r="BA10" i="38"/>
  <c r="BB10" i="38" s="1"/>
  <c r="BA9" i="38"/>
  <c r="BB9" i="38" s="1"/>
  <c r="BA12" i="38"/>
  <c r="BA8" i="38"/>
  <c r="BB8" i="38" s="1"/>
  <c r="BA14" i="38"/>
  <c r="AR8" i="38"/>
  <c r="AS8" i="38" s="1"/>
  <c r="Q10" i="38"/>
  <c r="R10" i="38" s="1"/>
  <c r="AI13" i="38"/>
  <c r="AJ13" i="38" s="1"/>
  <c r="AI9" i="38"/>
  <c r="AJ9" i="38" s="1"/>
  <c r="Z12" i="38"/>
  <c r="AA12" i="38" s="1"/>
  <c r="AI11" i="38"/>
  <c r="AJ11" i="38" s="1"/>
  <c r="AI8" i="38"/>
  <c r="AJ8" i="38" s="1"/>
  <c r="Z9" i="38"/>
  <c r="AA9" i="38" s="1"/>
  <c r="AR12" i="38"/>
  <c r="AS12" i="38" s="1"/>
  <c r="Z8" i="38"/>
  <c r="AA8" i="38" s="1"/>
  <c r="AI14" i="38"/>
  <c r="Q12" i="38"/>
  <c r="R12" i="38" s="1"/>
  <c r="Q8" i="38"/>
  <c r="R8" i="38" s="1"/>
  <c r="Q14" i="38"/>
  <c r="R14" i="38" s="1"/>
  <c r="AR11" i="35"/>
  <c r="AS11" i="35" s="1"/>
  <c r="AI8" i="33"/>
  <c r="AJ8" i="33" s="1"/>
  <c r="AI10" i="33"/>
  <c r="AJ10" i="33" s="1"/>
  <c r="AR11" i="33"/>
  <c r="AS11" i="33" s="1"/>
  <c r="Z11" i="33"/>
  <c r="AA11" i="33" s="1"/>
  <c r="AR9" i="33"/>
  <c r="AS9" i="33" s="1"/>
  <c r="BD9" i="33"/>
  <c r="BE9" i="33" s="1"/>
  <c r="AI9" i="33"/>
  <c r="AJ9" i="33" s="1"/>
  <c r="AI11" i="33"/>
  <c r="AJ11" i="33" s="1"/>
  <c r="BD10" i="33"/>
  <c r="BE10" i="33" s="1"/>
  <c r="Z9" i="33"/>
  <c r="AA9" i="33" s="1"/>
  <c r="Z10" i="33"/>
  <c r="AA10" i="33" s="1"/>
  <c r="M9" i="33"/>
  <c r="N9" i="33" s="1"/>
  <c r="M10" i="33"/>
  <c r="N10" i="33" s="1"/>
  <c r="M11" i="33"/>
  <c r="N11" i="33" s="1"/>
  <c r="Q9" i="38"/>
  <c r="R9" i="38" s="1"/>
  <c r="Q11" i="38"/>
  <c r="R11" i="38" s="1"/>
  <c r="Q17" i="39"/>
  <c r="R17" i="39" s="1"/>
  <c r="Q12" i="39"/>
  <c r="R12" i="39" s="1"/>
  <c r="BA17" i="39"/>
  <c r="BB17" i="39" s="1"/>
  <c r="AR12" i="39"/>
  <c r="AS12" i="39" s="1"/>
  <c r="AI31" i="39"/>
  <c r="AJ31" i="39" s="1"/>
  <c r="Q29" i="39"/>
  <c r="R29" i="39" s="1"/>
  <c r="AI19" i="39"/>
  <c r="AJ19" i="39" s="1"/>
  <c r="Q30" i="39"/>
  <c r="R30" i="39" s="1"/>
  <c r="AI11" i="39"/>
  <c r="AJ11" i="39" s="1"/>
  <c r="Q31" i="39"/>
  <c r="R31" i="39" s="1"/>
  <c r="Z29" i="39"/>
  <c r="AA29" i="39" s="1"/>
  <c r="Q22" i="39"/>
  <c r="R22" i="39" s="1"/>
  <c r="BA22" i="39"/>
  <c r="BB22" i="39" s="1"/>
  <c r="AR19" i="39"/>
  <c r="AS19" i="39" s="1"/>
  <c r="Q28" i="39"/>
  <c r="R28" i="39" s="1"/>
  <c r="BA28" i="39"/>
  <c r="BB28" i="39" s="1"/>
  <c r="AR21" i="39"/>
  <c r="AS21" i="39" s="1"/>
  <c r="BA11" i="39"/>
  <c r="BB11" i="39" s="1"/>
  <c r="BA23" i="39"/>
  <c r="BB23" i="39" s="1"/>
  <c r="Z10" i="39"/>
  <c r="AA10" i="39" s="1"/>
  <c r="Q27" i="39"/>
  <c r="R27" i="39" s="1"/>
  <c r="AR26" i="39"/>
  <c r="AS26" i="39" s="1"/>
  <c r="BA16" i="39"/>
  <c r="Z14" i="39"/>
  <c r="AA14" i="39" s="1"/>
  <c r="Q24" i="39"/>
  <c r="R24" i="39" s="1"/>
  <c r="AI9" i="39"/>
  <c r="AJ9" i="39" s="1"/>
  <c r="Z31" i="39"/>
  <c r="AA31" i="39" s="1"/>
  <c r="AI29" i="39"/>
  <c r="AJ29" i="39" s="1"/>
  <c r="Q19" i="39"/>
  <c r="R19" i="39" s="1"/>
  <c r="Z28" i="39"/>
  <c r="AA28" i="39" s="1"/>
  <c r="Z30" i="39"/>
  <c r="AA30" i="39" s="1"/>
  <c r="Q21" i="39"/>
  <c r="R21" i="39" s="1"/>
  <c r="BA21" i="39"/>
  <c r="AR11" i="39"/>
  <c r="AS11" i="39" s="1"/>
  <c r="AI23" i="39"/>
  <c r="AJ23" i="39" s="1"/>
  <c r="Q10" i="39"/>
  <c r="R10" i="39" s="1"/>
  <c r="BA10" i="39"/>
  <c r="BB10" i="39" s="1"/>
  <c r="AI18" i="39"/>
  <c r="AJ18" i="39" s="1"/>
  <c r="AI27" i="39"/>
  <c r="AJ27" i="39" s="1"/>
  <c r="Q13" i="39"/>
  <c r="R13" i="39" s="1"/>
  <c r="BA13" i="39"/>
  <c r="BB13" i="39" s="1"/>
  <c r="Z15" i="39"/>
  <c r="AA15" i="39" s="1"/>
  <c r="AI26" i="39"/>
  <c r="AJ26" i="39" s="1"/>
  <c r="AI16" i="39"/>
  <c r="AJ16" i="39" s="1"/>
  <c r="Q14" i="39"/>
  <c r="R14" i="39" s="1"/>
  <c r="BA14" i="39"/>
  <c r="BB14" i="39" s="1"/>
  <c r="AI32" i="39"/>
  <c r="AJ32" i="39" s="1"/>
  <c r="AI24" i="39"/>
  <c r="AJ24" i="39" s="1"/>
  <c r="Q20" i="39"/>
  <c r="R20" i="39" s="1"/>
  <c r="BA20" i="39"/>
  <c r="BB20" i="39" s="1"/>
  <c r="BA12" i="39"/>
  <c r="BB12" i="39" s="1"/>
  <c r="Z23" i="39"/>
  <c r="AA23" i="39" s="1"/>
  <c r="Z27" i="39"/>
  <c r="AA27" i="39" s="1"/>
  <c r="Z16" i="39"/>
  <c r="AA16" i="39" s="1"/>
  <c r="Z24" i="39"/>
  <c r="AA24" i="39" s="1"/>
  <c r="AI17" i="39"/>
  <c r="AJ17" i="39" s="1"/>
  <c r="AR8" i="39"/>
  <c r="AS8" i="39" s="1"/>
  <c r="Z8" i="39"/>
  <c r="AA8" i="39" s="1"/>
  <c r="Z12" i="39"/>
  <c r="AA12" i="39" s="1"/>
  <c r="Q8" i="39"/>
  <c r="R8" i="39" s="1"/>
  <c r="Q18" i="39"/>
  <c r="R18" i="39" s="1"/>
  <c r="Q26" i="39"/>
  <c r="R26" i="39" s="1"/>
  <c r="Q32" i="39"/>
  <c r="R32" i="39" s="1"/>
  <c r="Z9" i="39"/>
  <c r="AA9" i="39" s="1"/>
  <c r="BA29" i="39"/>
  <c r="BB29" i="39" s="1"/>
  <c r="Z22" i="39"/>
  <c r="AA22" i="39" s="1"/>
  <c r="AR28" i="39"/>
  <c r="AS28" i="39" s="1"/>
  <c r="BA30" i="39"/>
  <c r="BB30" i="39" s="1"/>
  <c r="Z21" i="39"/>
  <c r="AA21" i="39" s="1"/>
  <c r="AR9" i="39"/>
  <c r="AS9" i="39" s="1"/>
  <c r="BA31" i="39"/>
  <c r="BB31" i="39" s="1"/>
  <c r="AR29" i="39"/>
  <c r="AS29" i="39" s="1"/>
  <c r="AI22" i="39"/>
  <c r="AJ22" i="39" s="1"/>
  <c r="Z19" i="39"/>
  <c r="AA19" i="39" s="1"/>
  <c r="AI28" i="39"/>
  <c r="AJ28" i="39" s="1"/>
  <c r="AI30" i="39"/>
  <c r="AJ30" i="39" s="1"/>
  <c r="Q11" i="39"/>
  <c r="R11" i="39" s="1"/>
  <c r="Q23" i="39"/>
  <c r="R23" i="39" s="1"/>
  <c r="AR18" i="39"/>
  <c r="AS18" i="39" s="1"/>
  <c r="BA27" i="39"/>
  <c r="BB27" i="39" s="1"/>
  <c r="Z13" i="39"/>
  <c r="AA13" i="39" s="1"/>
  <c r="AI15" i="39"/>
  <c r="AJ15" i="39" s="1"/>
  <c r="Q16" i="39"/>
  <c r="R16" i="39" s="1"/>
  <c r="AR32" i="39"/>
  <c r="AS32" i="39" s="1"/>
  <c r="BA24" i="39"/>
  <c r="BB24" i="39" s="1"/>
  <c r="Z20" i="39"/>
  <c r="AA20" i="39" s="1"/>
  <c r="AI12" i="39"/>
  <c r="AJ12" i="39" s="1"/>
  <c r="Q9" i="39"/>
  <c r="R9" i="39" s="1"/>
  <c r="BA9" i="39"/>
  <c r="BB9" i="39" s="1"/>
  <c r="AR31" i="39"/>
  <c r="AS31" i="39" s="1"/>
  <c r="Q33" i="39"/>
  <c r="R33" i="39" s="1"/>
  <c r="C33" i="39" s="1"/>
  <c r="AR22" i="39"/>
  <c r="AS22" i="39" s="1"/>
  <c r="BA19" i="39"/>
  <c r="BB19" i="39" s="1"/>
  <c r="AR30" i="39"/>
  <c r="AS30" i="39" s="1"/>
  <c r="AI21" i="39"/>
  <c r="AJ21" i="39" s="1"/>
  <c r="Z11" i="39"/>
  <c r="AA11" i="39" s="1"/>
  <c r="AR23" i="39"/>
  <c r="AS23" i="39" s="1"/>
  <c r="AR10" i="39"/>
  <c r="AS10" i="39" s="1"/>
  <c r="Z18" i="39"/>
  <c r="AA18" i="39" s="1"/>
  <c r="AR27" i="39"/>
  <c r="AS27" i="39" s="1"/>
  <c r="AR13" i="39"/>
  <c r="AS13" i="39" s="1"/>
  <c r="Q15" i="39"/>
  <c r="R15" i="39" s="1"/>
  <c r="BA15" i="39"/>
  <c r="BB15" i="39" s="1"/>
  <c r="Z26" i="39"/>
  <c r="AA26" i="39" s="1"/>
  <c r="AR16" i="39"/>
  <c r="AS16" i="39" s="1"/>
  <c r="AR14" i="39"/>
  <c r="AS14" i="39" s="1"/>
  <c r="Z32" i="39"/>
  <c r="AA32" i="39" s="1"/>
  <c r="AR24" i="39"/>
  <c r="AS24" i="39" s="1"/>
  <c r="AR20" i="39"/>
  <c r="AS20" i="39" s="1"/>
  <c r="AI10" i="39"/>
  <c r="AJ10" i="39" s="1"/>
  <c r="AI13" i="39"/>
  <c r="AJ13" i="39" s="1"/>
  <c r="AI14" i="39"/>
  <c r="AJ14" i="39" s="1"/>
  <c r="AR17" i="39"/>
  <c r="AS17" i="39" s="1"/>
  <c r="AR15" i="39"/>
  <c r="AS15" i="39" s="1"/>
  <c r="BA8" i="39"/>
  <c r="BB8" i="39" s="1"/>
  <c r="BA18" i="39"/>
  <c r="BB18" i="39" s="1"/>
  <c r="BA26" i="39"/>
  <c r="BB26" i="39" s="1"/>
  <c r="BA32" i="39"/>
  <c r="BB32" i="39" s="1"/>
  <c r="AI8" i="39"/>
  <c r="AJ8" i="39" s="1"/>
  <c r="AR11" i="37"/>
  <c r="AS11" i="37" s="1"/>
  <c r="BD9" i="19"/>
  <c r="BE9" i="19" s="1"/>
  <c r="Z9" i="31"/>
  <c r="AA9" i="31" s="1"/>
  <c r="BA30" i="36"/>
  <c r="BB30" i="36" s="1"/>
  <c r="BA8" i="36"/>
  <c r="BB8" i="36" s="1"/>
  <c r="AI28" i="36"/>
  <c r="AJ28" i="36" s="1"/>
  <c r="Z11" i="37"/>
  <c r="AA11" i="37" s="1"/>
  <c r="AI11" i="31"/>
  <c r="AJ11" i="31" s="1"/>
  <c r="AI8" i="31"/>
  <c r="AJ8" i="31" s="1"/>
  <c r="AR8" i="35"/>
  <c r="AS8" i="35" s="1"/>
  <c r="AI10" i="35"/>
  <c r="AJ10" i="35" s="1"/>
  <c r="Q17" i="36"/>
  <c r="R17" i="36" s="1"/>
  <c r="Q15" i="36"/>
  <c r="R15" i="36" s="1"/>
  <c r="AI20" i="36"/>
  <c r="AJ20" i="36" s="1"/>
  <c r="AR26" i="36"/>
  <c r="AS26" i="36" s="1"/>
  <c r="AR23" i="36"/>
  <c r="AS23" i="36" s="1"/>
  <c r="AI8" i="36"/>
  <c r="AJ8" i="36" s="1"/>
  <c r="AR12" i="36"/>
  <c r="AS12" i="36" s="1"/>
  <c r="AR22" i="36"/>
  <c r="AS22" i="36" s="1"/>
  <c r="AI29" i="36"/>
  <c r="AJ29" i="36" s="1"/>
  <c r="AI26" i="36"/>
  <c r="AJ26" i="36" s="1"/>
  <c r="AI19" i="36"/>
  <c r="AJ19" i="36" s="1"/>
  <c r="AI21" i="36"/>
  <c r="AJ21" i="36" s="1"/>
  <c r="AI18" i="36"/>
  <c r="AJ18" i="36" s="1"/>
  <c r="AI9" i="36"/>
  <c r="AJ9" i="36" s="1"/>
  <c r="AI17" i="36"/>
  <c r="AJ17" i="36" s="1"/>
  <c r="AI22" i="36"/>
  <c r="AJ22" i="36" s="1"/>
  <c r="AI16" i="36"/>
  <c r="AJ16" i="36" s="1"/>
  <c r="AR29" i="36"/>
  <c r="AS29" i="36" s="1"/>
  <c r="AR9" i="37"/>
  <c r="AS9" i="37" s="1"/>
  <c r="AI10" i="37"/>
  <c r="AJ10" i="37" s="1"/>
  <c r="AR25" i="39"/>
  <c r="AS25" i="39" s="1"/>
  <c r="BA25" i="39"/>
  <c r="BB25" i="39" s="1"/>
  <c r="Q25" i="39"/>
  <c r="R25" i="39" s="1"/>
  <c r="AI25" i="39"/>
  <c r="AJ25" i="39" s="1"/>
  <c r="Z25" i="39"/>
  <c r="AA25" i="39" s="1"/>
  <c r="Z13" i="38"/>
  <c r="AA13" i="38" s="1"/>
  <c r="BA13" i="38"/>
  <c r="Q13" i="38"/>
  <c r="R13" i="38" s="1"/>
  <c r="AR10" i="37"/>
  <c r="AS10" i="37" s="1"/>
  <c r="AR8" i="37"/>
  <c r="AS8" i="37" s="1"/>
  <c r="AR12" i="37"/>
  <c r="AS12" i="37" s="1"/>
  <c r="AI12" i="37"/>
  <c r="AJ12" i="37" s="1"/>
  <c r="AI9" i="37"/>
  <c r="AJ9" i="37" s="1"/>
  <c r="AI11" i="37"/>
  <c r="AJ11" i="37" s="1"/>
  <c r="AI8" i="37"/>
  <c r="AJ8" i="37" s="1"/>
  <c r="Z9" i="37"/>
  <c r="AA9" i="37" s="1"/>
  <c r="Q11" i="37"/>
  <c r="R11" i="37" s="1"/>
  <c r="Z8" i="37"/>
  <c r="AA8" i="37" s="1"/>
  <c r="BA8" i="37"/>
  <c r="BB8" i="37" s="1"/>
  <c r="BA9" i="37"/>
  <c r="BB9" i="37" s="1"/>
  <c r="BA11" i="37"/>
  <c r="BB11" i="37" s="1"/>
  <c r="Q12" i="37"/>
  <c r="R12" i="37" s="1"/>
  <c r="Z10" i="37"/>
  <c r="AA10" i="37" s="1"/>
  <c r="Q9" i="37"/>
  <c r="R9" i="37" s="1"/>
  <c r="Q10" i="37"/>
  <c r="R10" i="37" s="1"/>
  <c r="BA10" i="37"/>
  <c r="BB10" i="37" s="1"/>
  <c r="Z12" i="37"/>
  <c r="AA12" i="37" s="1"/>
  <c r="BA12" i="37"/>
  <c r="BB12" i="37" s="1"/>
  <c r="Q8" i="37"/>
  <c r="R8" i="37" s="1"/>
  <c r="AR9" i="36"/>
  <c r="AS9" i="36" s="1"/>
  <c r="AR21" i="36"/>
  <c r="AS21" i="36" s="1"/>
  <c r="AR8" i="36"/>
  <c r="AS8" i="36" s="1"/>
  <c r="AR13" i="36"/>
  <c r="AS13" i="36" s="1"/>
  <c r="AR15" i="36"/>
  <c r="AS15" i="36" s="1"/>
  <c r="AR31" i="36"/>
  <c r="AS31" i="36" s="1"/>
  <c r="AR11" i="36"/>
  <c r="AS11" i="36" s="1"/>
  <c r="AI27" i="36"/>
  <c r="AJ27" i="36" s="1"/>
  <c r="AI10" i="36"/>
  <c r="AJ10" i="36" s="1"/>
  <c r="AI15" i="36"/>
  <c r="AJ15" i="36" s="1"/>
  <c r="AI32" i="36"/>
  <c r="AJ32" i="36" s="1"/>
  <c r="Z14" i="36"/>
  <c r="AA14" i="36" s="1"/>
  <c r="Z16" i="36"/>
  <c r="AA16" i="36" s="1"/>
  <c r="BA21" i="36"/>
  <c r="BB21" i="36" s="1"/>
  <c r="BA19" i="36"/>
  <c r="BB19" i="36" s="1"/>
  <c r="Q16" i="36"/>
  <c r="R16" i="36" s="1"/>
  <c r="BA23" i="36"/>
  <c r="BB23" i="36" s="1"/>
  <c r="BA13" i="36"/>
  <c r="BB13" i="36" s="1"/>
  <c r="Q31" i="36"/>
  <c r="R31" i="36" s="1"/>
  <c r="BA11" i="36"/>
  <c r="BB11" i="36" s="1"/>
  <c r="Q8" i="36"/>
  <c r="R8" i="36" s="1"/>
  <c r="Q18" i="36"/>
  <c r="R18" i="36" s="1"/>
  <c r="Q11" i="36"/>
  <c r="R11" i="36" s="1"/>
  <c r="Q10" i="36"/>
  <c r="R10" i="36" s="1"/>
  <c r="Q27" i="36"/>
  <c r="R27" i="36" s="1"/>
  <c r="Q26" i="36"/>
  <c r="R26" i="36" s="1"/>
  <c r="Z32" i="36"/>
  <c r="AA32" i="36" s="1"/>
  <c r="Q9" i="36"/>
  <c r="R9" i="36" s="1"/>
  <c r="Z30" i="36"/>
  <c r="AA30" i="36" s="1"/>
  <c r="BA28" i="36"/>
  <c r="BB28" i="36" s="1"/>
  <c r="Q19" i="36"/>
  <c r="R19" i="36" s="1"/>
  <c r="Z8" i="36"/>
  <c r="AA8" i="36" s="1"/>
  <c r="Z26" i="36"/>
  <c r="AA26" i="36" s="1"/>
  <c r="Z9" i="36"/>
  <c r="AA9" i="36" s="1"/>
  <c r="Z17" i="36"/>
  <c r="AA17" i="36" s="1"/>
  <c r="Z25" i="36"/>
  <c r="AA25" i="36" s="1"/>
  <c r="Z10" i="36"/>
  <c r="AA10" i="36" s="1"/>
  <c r="BA27" i="36"/>
  <c r="BB27" i="36" s="1"/>
  <c r="BA22" i="36"/>
  <c r="BB22" i="36" s="1"/>
  <c r="Q24" i="36"/>
  <c r="R24" i="36" s="1"/>
  <c r="Z18" i="36"/>
  <c r="AA18" i="36" s="1"/>
  <c r="Q25" i="36"/>
  <c r="R25" i="36" s="1"/>
  <c r="Q23" i="36"/>
  <c r="R23" i="36" s="1"/>
  <c r="Z23" i="36"/>
  <c r="AA23" i="36" s="1"/>
  <c r="BA15" i="36"/>
  <c r="BB15" i="36" s="1"/>
  <c r="Z24" i="36"/>
  <c r="AA24" i="36" s="1"/>
  <c r="Z22" i="36"/>
  <c r="AA22" i="36" s="1"/>
  <c r="BA14" i="36"/>
  <c r="BB14" i="36" s="1"/>
  <c r="BA20" i="36"/>
  <c r="BB20" i="36" s="1"/>
  <c r="BA31" i="36"/>
  <c r="BB31" i="36" s="1"/>
  <c r="Z20" i="36"/>
  <c r="AA20" i="36" s="1"/>
  <c r="Z29" i="36"/>
  <c r="AA29" i="36" s="1"/>
  <c r="BA24" i="36"/>
  <c r="BB24" i="36" s="1"/>
  <c r="BA25" i="36"/>
  <c r="BB25" i="36" s="1"/>
  <c r="Q32" i="36"/>
  <c r="R32" i="36" s="1"/>
  <c r="Q22" i="36"/>
  <c r="R22" i="36" s="1"/>
  <c r="BA32" i="36"/>
  <c r="BB32" i="36" s="1"/>
  <c r="Z21" i="36"/>
  <c r="AA21" i="36" s="1"/>
  <c r="Z19" i="36"/>
  <c r="AA19" i="36" s="1"/>
  <c r="BA17" i="36"/>
  <c r="BB17" i="36" s="1"/>
  <c r="BA12" i="36"/>
  <c r="BB12" i="36" s="1"/>
  <c r="Q21" i="36"/>
  <c r="R21" i="36" s="1"/>
  <c r="BA29" i="36"/>
  <c r="BB29" i="36" s="1"/>
  <c r="BA18" i="36"/>
  <c r="BB18" i="36" s="1"/>
  <c r="BA16" i="36"/>
  <c r="BB16" i="36" s="1"/>
  <c r="Z15" i="36"/>
  <c r="AA15" i="36" s="1"/>
  <c r="Q14" i="36"/>
  <c r="R14" i="36" s="1"/>
  <c r="Q13" i="36"/>
  <c r="R13" i="36" s="1"/>
  <c r="BA26" i="36"/>
  <c r="BB26" i="36" s="1"/>
  <c r="Z31" i="36"/>
  <c r="AA31" i="36" s="1"/>
  <c r="Q20" i="36"/>
  <c r="R20" i="36" s="1"/>
  <c r="Z13" i="36"/>
  <c r="AA13" i="36" s="1"/>
  <c r="Q28" i="36"/>
  <c r="R28" i="36" s="1"/>
  <c r="Q12" i="36"/>
  <c r="R12" i="36" s="1"/>
  <c r="Q29" i="36"/>
  <c r="R29" i="36" s="1"/>
  <c r="Z12" i="36"/>
  <c r="AA12" i="36" s="1"/>
  <c r="Q30" i="36"/>
  <c r="R30" i="36" s="1"/>
  <c r="BA10" i="36"/>
  <c r="BB10" i="36" s="1"/>
  <c r="Z27" i="36"/>
  <c r="AA27" i="36" s="1"/>
  <c r="Z11" i="36"/>
  <c r="AA11" i="36" s="1"/>
  <c r="Z28" i="36"/>
  <c r="AA28" i="36" s="1"/>
  <c r="BA9" i="36"/>
  <c r="BB9" i="36" s="1"/>
  <c r="AR10" i="35"/>
  <c r="AS10" i="35" s="1"/>
  <c r="AI11" i="35"/>
  <c r="AJ11" i="35" s="1"/>
  <c r="AI9" i="35"/>
  <c r="AJ9" i="35" s="1"/>
  <c r="Z11" i="35"/>
  <c r="AA11" i="35" s="1"/>
  <c r="Z8" i="35"/>
  <c r="AA8" i="35" s="1"/>
  <c r="Z10" i="35"/>
  <c r="AA10" i="35" s="1"/>
  <c r="Q8" i="35"/>
  <c r="R8" i="35" s="1"/>
  <c r="AI8" i="35"/>
  <c r="AJ8" i="35" s="1"/>
  <c r="Q11" i="35"/>
  <c r="R11" i="35" s="1"/>
  <c r="Q10" i="35"/>
  <c r="R10" i="35" s="1"/>
  <c r="BA8" i="35"/>
  <c r="BB8" i="35" s="1"/>
  <c r="Z9" i="35"/>
  <c r="AA9" i="35" s="1"/>
  <c r="BA9" i="35"/>
  <c r="BB9" i="35" s="1"/>
  <c r="BA11" i="35"/>
  <c r="BB11" i="35" s="1"/>
  <c r="BA10" i="35"/>
  <c r="BB10" i="35" s="1"/>
  <c r="Q9" i="35"/>
  <c r="R9" i="35" s="1"/>
  <c r="AI8" i="34"/>
  <c r="AJ8" i="34" s="1"/>
  <c r="AR8" i="34"/>
  <c r="AS8" i="34" s="1"/>
  <c r="Z8" i="34"/>
  <c r="AA8" i="34" s="1"/>
  <c r="C8" i="34" s="1"/>
  <c r="BA8" i="34"/>
  <c r="BB8" i="34" s="1"/>
  <c r="Q8" i="34"/>
  <c r="R8" i="34" s="1"/>
  <c r="AR8" i="33"/>
  <c r="AS8" i="33" s="1"/>
  <c r="Z8" i="33"/>
  <c r="AA8" i="33" s="1"/>
  <c r="M8" i="33"/>
  <c r="N8" i="33" s="1"/>
  <c r="BD8" i="33"/>
  <c r="BE8" i="33" s="1"/>
  <c r="AR8" i="32"/>
  <c r="AS8" i="32" s="1"/>
  <c r="AI8" i="32"/>
  <c r="AJ8" i="32" s="1"/>
  <c r="M8" i="32"/>
  <c r="N8" i="32" s="1"/>
  <c r="C8" i="32" s="1"/>
  <c r="B8" i="32" s="1"/>
  <c r="Z8" i="32"/>
  <c r="AA8" i="32" s="1"/>
  <c r="BD8" i="32"/>
  <c r="BE8" i="32" s="1"/>
  <c r="AI9" i="31"/>
  <c r="AJ9" i="31" s="1"/>
  <c r="AI12" i="31"/>
  <c r="AI10" i="31"/>
  <c r="AJ10" i="31" s="1"/>
  <c r="AR9" i="31"/>
  <c r="AS9" i="31" s="1"/>
  <c r="AR11" i="31"/>
  <c r="AS11" i="31" s="1"/>
  <c r="AR12" i="31"/>
  <c r="AR10" i="31"/>
  <c r="AS10" i="31" s="1"/>
  <c r="Z8" i="31"/>
  <c r="AA8" i="31" s="1"/>
  <c r="M11" i="31"/>
  <c r="N11" i="31" s="1"/>
  <c r="BD12" i="31"/>
  <c r="Z10" i="31"/>
  <c r="AA10" i="31" s="1"/>
  <c r="BD9" i="31"/>
  <c r="BE9" i="31" s="1"/>
  <c r="BD8" i="31"/>
  <c r="BE8" i="31" s="1"/>
  <c r="Z12" i="31"/>
  <c r="AA12" i="31" s="1"/>
  <c r="BD10" i="31"/>
  <c r="BE10" i="31" s="1"/>
  <c r="Z11" i="31"/>
  <c r="AA11" i="31" s="1"/>
  <c r="M12" i="31"/>
  <c r="N12" i="31" s="1"/>
  <c r="AR8" i="31"/>
  <c r="AS8" i="31" s="1"/>
  <c r="M8" i="31"/>
  <c r="N8" i="31" s="1"/>
  <c r="M10" i="31"/>
  <c r="N10" i="31" s="1"/>
  <c r="M9" i="31"/>
  <c r="N9" i="31" s="1"/>
  <c r="BE11" i="31"/>
  <c r="BE10" i="19"/>
  <c r="BD8" i="19"/>
  <c r="BE8" i="19" s="1"/>
  <c r="AR9" i="19"/>
  <c r="AS9" i="19" s="1"/>
  <c r="AR8" i="19"/>
  <c r="AS8" i="19" s="1"/>
  <c r="AR10" i="19"/>
  <c r="AS10" i="19" s="1"/>
  <c r="M9" i="19"/>
  <c r="N9" i="19" s="1"/>
  <c r="M8" i="19"/>
  <c r="N8" i="19" s="1"/>
  <c r="M10" i="19"/>
  <c r="N10" i="19" s="1"/>
  <c r="C9" i="31" l="1"/>
  <c r="C9" i="39"/>
  <c r="C10" i="37"/>
  <c r="C17" i="39"/>
  <c r="C15" i="39"/>
  <c r="C23" i="39"/>
  <c r="C8" i="39"/>
  <c r="C10" i="39"/>
  <c r="C16" i="39"/>
  <c r="C14" i="39"/>
  <c r="B8" i="34"/>
  <c r="C9" i="38"/>
  <c r="C10" i="38"/>
  <c r="C13" i="38"/>
  <c r="C11" i="38"/>
  <c r="C9" i="37"/>
  <c r="C10" i="33"/>
  <c r="C11" i="33"/>
  <c r="C9" i="33"/>
  <c r="C11" i="39"/>
  <c r="C20" i="39"/>
  <c r="C19" i="39"/>
  <c r="C28" i="39"/>
  <c r="C25" i="39"/>
  <c r="C32" i="39"/>
  <c r="C18" i="39"/>
  <c r="C24" i="39"/>
  <c r="C27" i="39"/>
  <c r="C26" i="39"/>
  <c r="C13" i="39"/>
  <c r="C21" i="39"/>
  <c r="C22" i="39"/>
  <c r="C31" i="39"/>
  <c r="C30" i="39"/>
  <c r="C29" i="39"/>
  <c r="C12" i="39"/>
  <c r="C14" i="38"/>
  <c r="C12" i="38"/>
  <c r="C8" i="38"/>
  <c r="C8" i="37"/>
  <c r="C11" i="37"/>
  <c r="C12" i="37"/>
  <c r="C8" i="35"/>
  <c r="C9" i="35"/>
  <c r="C10" i="35"/>
  <c r="C11" i="35"/>
  <c r="C8" i="33"/>
  <c r="C10" i="31"/>
  <c r="C8" i="31"/>
  <c r="C12" i="31"/>
  <c r="C11" i="31"/>
  <c r="B9" i="35" l="1"/>
  <c r="B8" i="35"/>
  <c r="B8" i="33"/>
  <c r="B10" i="33"/>
  <c r="B11" i="33"/>
  <c r="B9" i="33"/>
  <c r="B33" i="39"/>
  <c r="B10" i="39"/>
  <c r="B22" i="39"/>
  <c r="B12" i="39"/>
  <c r="B27" i="39"/>
  <c r="B28" i="39"/>
  <c r="B26" i="39"/>
  <c r="B29" i="39"/>
  <c r="B31" i="39"/>
  <c r="B15" i="39"/>
  <c r="B32" i="39"/>
  <c r="B24" i="39"/>
  <c r="B11" i="39"/>
  <c r="B14" i="39"/>
  <c r="B19" i="39"/>
  <c r="B17" i="39"/>
  <c r="B20" i="39"/>
  <c r="B8" i="39"/>
  <c r="B23" i="39"/>
  <c r="B21" i="39"/>
  <c r="B13" i="39"/>
  <c r="B9" i="39"/>
  <c r="B16" i="39"/>
  <c r="B14" i="38"/>
  <c r="B8" i="38"/>
  <c r="B10" i="38"/>
  <c r="B9" i="38"/>
  <c r="B12" i="38"/>
  <c r="B11" i="38"/>
  <c r="B13" i="38"/>
  <c r="B8" i="37"/>
  <c r="B10" i="37"/>
  <c r="B12" i="37"/>
  <c r="B11" i="37"/>
  <c r="B11" i="35"/>
  <c r="B10" i="35"/>
  <c r="B9" i="31"/>
  <c r="B12" i="31"/>
  <c r="B11" i="31"/>
  <c r="B8" i="31"/>
  <c r="B10" i="31"/>
  <c r="AI10" i="19"/>
  <c r="AJ10" i="19" s="1"/>
  <c r="AI9" i="19"/>
  <c r="AJ9" i="19" s="1"/>
  <c r="AI8" i="19"/>
  <c r="AJ8" i="19" s="1"/>
  <c r="Z8" i="19"/>
  <c r="AA8" i="19" s="1"/>
  <c r="Z10" i="19"/>
  <c r="AA10" i="19" s="1"/>
  <c r="C10" i="19" s="1"/>
  <c r="Z9" i="19"/>
  <c r="AA9" i="19" s="1"/>
  <c r="C9" i="19" s="1"/>
  <c r="C8" i="19" l="1"/>
  <c r="B9" i="19" s="1"/>
  <c r="B8" i="19" l="1"/>
</calcChain>
</file>

<file path=xl/sharedStrings.xml><?xml version="1.0" encoding="utf-8"?>
<sst xmlns="http://schemas.openxmlformats.org/spreadsheetml/2006/main" count="664" uniqueCount="93">
  <si>
    <t>100-бальная система</t>
  </si>
  <si>
    <t>50-бальная система</t>
  </si>
  <si>
    <t>место</t>
  </si>
  <si>
    <t>баллы</t>
  </si>
  <si>
    <t>Итоговый результат</t>
  </si>
  <si>
    <t>Задание 2
100 баллов</t>
  </si>
  <si>
    <t>Задание 4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</si>
  <si>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</si>
  <si>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</si>
  <si>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</si>
  <si>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</si>
  <si>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</si>
  <si>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</si>
  <si>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</si>
  <si>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</si>
  <si>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</si>
  <si>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</si>
  <si>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Вес</t>
  </si>
  <si>
    <t>6 минут</t>
  </si>
  <si>
    <t>Задание 1.1
100 баллов</t>
  </si>
  <si>
    <t>Задание 1.2
100 баллов</t>
  </si>
  <si>
    <t>9 минут</t>
  </si>
  <si>
    <t>Задание 3.1
100 баллов</t>
  </si>
  <si>
    <t>12 минут</t>
  </si>
  <si>
    <t>Задание 3.2
100 баллов</t>
  </si>
  <si>
    <t>Девушки
13-14</t>
  </si>
  <si>
    <t>Юноши
13-14</t>
  </si>
  <si>
    <t>Девушки
15-16</t>
  </si>
  <si>
    <t>Юноши
15-16</t>
  </si>
  <si>
    <t>Девушки
17-18</t>
  </si>
  <si>
    <t>15 минут</t>
  </si>
  <si>
    <t>Юноши
17-18</t>
  </si>
  <si>
    <t>Юниорки
19-20</t>
  </si>
  <si>
    <t>Юниоры
19-20</t>
  </si>
  <si>
    <t>Женщины
21+</t>
  </si>
  <si>
    <t>Мужчины
21+</t>
  </si>
  <si>
    <t>Тайбрейк</t>
  </si>
  <si>
    <t>Власенко Алексей</t>
  </si>
  <si>
    <t>Дужик Андрей</t>
  </si>
  <si>
    <t>Никифоров Платон</t>
  </si>
  <si>
    <t>Плотников Егор</t>
  </si>
  <si>
    <t>Янчинов Карим</t>
  </si>
  <si>
    <t>Девочкин Даниил</t>
  </si>
  <si>
    <t>Григорьев Кирилл</t>
  </si>
  <si>
    <t>Данилов Григорий</t>
  </si>
  <si>
    <t>Дороженко Даниил</t>
  </si>
  <si>
    <t>Максимов Андрей</t>
  </si>
  <si>
    <t>Паплавский Кирилл</t>
  </si>
  <si>
    <t>Сахаров Сергей</t>
  </si>
  <si>
    <t>Павлов Андрей</t>
  </si>
  <si>
    <t>Петросян Давид</t>
  </si>
  <si>
    <t>Герасимов Адонис</t>
  </si>
  <si>
    <t>Титов Денис</t>
  </si>
  <si>
    <t>Монахов Егор</t>
  </si>
  <si>
    <t>Ахметзянова Валерия</t>
  </si>
  <si>
    <t>Фирулева Ева</t>
  </si>
  <si>
    <t>Фетисова Елизавета</t>
  </si>
  <si>
    <t>Красовская Татьяна</t>
  </si>
  <si>
    <t>Гусева Влада</t>
  </si>
  <si>
    <t>Ахметзянова Вероника</t>
  </si>
  <si>
    <t>Гарифова Ульяна</t>
  </si>
  <si>
    <t>Костикова Кристина</t>
  </si>
  <si>
    <t>Петрова Полина</t>
  </si>
  <si>
    <t>Кутлина Анастасия</t>
  </si>
  <si>
    <t>Вопилова Ирина</t>
  </si>
  <si>
    <t xml:space="preserve">Куликова Мария </t>
  </si>
  <si>
    <t>Борисов	 Илья</t>
  </si>
  <si>
    <t>Соколов	 Глеб</t>
  </si>
  <si>
    <t>Хорохорин 	Михаил</t>
  </si>
  <si>
    <t>Михалёв	 Максим</t>
  </si>
  <si>
    <t>Ширшов	 Александр</t>
  </si>
  <si>
    <t>Ширшов 	Иван</t>
  </si>
  <si>
    <t>Данейкин 	Роман</t>
  </si>
  <si>
    <t>Трушкин 	Артем</t>
  </si>
  <si>
    <t>Соколов	 Семен</t>
  </si>
  <si>
    <t>Дробей	 Александр</t>
  </si>
  <si>
    <t>Макогонов	 Алексей</t>
  </si>
  <si>
    <t>Николаев	 Дмитрий</t>
  </si>
  <si>
    <t>Камышанов	 Артур</t>
  </si>
  <si>
    <t>Бояркин 	Илья</t>
  </si>
  <si>
    <t>Юшков 	Андрей</t>
  </si>
  <si>
    <t>Полевой	 Станислав</t>
  </si>
  <si>
    <t>Кожухарь 	Денис</t>
  </si>
  <si>
    <t>Андреев 	Антон</t>
  </si>
  <si>
    <t>Баландин 	Виталий</t>
  </si>
  <si>
    <t>Минаков	 Владислав</t>
  </si>
  <si>
    <t>Сайдашев	 Владимир</t>
  </si>
  <si>
    <t>Савельев 	Максим</t>
  </si>
  <si>
    <t>Шкляев	 Алексей</t>
  </si>
  <si>
    <t>Гурьев 	Андрей</t>
  </si>
  <si>
    <t>Орлов	 Михаил</t>
  </si>
  <si>
    <t>Байрамуков	 Тимур</t>
  </si>
  <si>
    <t>Кравченко 	Александр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</si>
</sst>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rgb="FFFFFF00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4"/>
    <xf numFmtId="0" fontId="7" fillId="0" borderId="4"/>
  </cellStyleXfs>
  <cellXfs count="45">
    <xf numFmtId="0" fontId="0" fillId="0" borderId="0" xfId="0"/>
    <xf numFmtId="0" fontId="0" fillId="3" borderId="3" xfId="0" applyFill="1" applyBorder="1"/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/>
    </xf>
    <xf numFmtId="164" fontId="0" fillId="0" borderId="0" xfId="0" applyNumberFormat="1"/>
    <xf numFmtId="0" fontId="5" fillId="0" borderId="5" xfId="0" applyFont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164" fontId="0" fillId="0" borderId="5" xfId="0" applyNumberFormat="1" applyBorder="1" applyAlignment="1">
      <alignment horizontal="center" vertical="center"/>
    </xf>
    <xf numFmtId="0" fontId="1" fillId="0" borderId="5" xfId="0" applyFont="1" applyBorder="1"/>
    <xf numFmtId="0" fontId="1" fillId="0" borderId="0" xfId="0" applyFont="1"/>
    <xf numFmtId="0" fontId="1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/>
    <xf numFmtId="0" fontId="8" fillId="6" borderId="6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workbookViewId="0">
      <selection activeCell="K29" sqref="K29"/>
    </sheetView>
  </sheetViews>
  <sheetFormatPr defaultColWidth="14.42578125" defaultRowHeight="15" customHeight="1" x14ac:dyDescent="0.25"/>
  <cols>
    <col min="1" max="2" width="8.7109375" customWidth="1"/>
    <col min="3" max="3" width="1.42578125" customWidth="1"/>
    <col min="4" max="11" width="8.7109375" customWidth="1"/>
  </cols>
  <sheetData>
    <row r="1" spans="1:5" x14ac:dyDescent="0.25">
      <c r="A1" s="29" t="s">
        <v>0</v>
      </c>
      <c r="B1" s="30"/>
      <c r="C1" s="1"/>
      <c r="D1" s="29" t="s">
        <v>1</v>
      </c>
      <c r="E1" s="30"/>
    </row>
    <row r="2" spans="1:5" x14ac:dyDescent="0.25">
      <c r="A2" s="2" t="s">
        <v>2</v>
      </c>
      <c r="B2" s="2" t="s">
        <v>3</v>
      </c>
      <c r="C2" s="1"/>
      <c r="D2" s="2" t="s">
        <v>2</v>
      </c>
      <c r="E2" s="2" t="s">
        <v>3</v>
      </c>
    </row>
    <row r="3" spans="1:5" x14ac:dyDescent="0.25">
      <c r="A3" s="3">
        <v>1</v>
      </c>
      <c r="B3" s="3">
        <v>100</v>
      </c>
      <c r="C3" s="1"/>
      <c r="D3" s="3">
        <v>1</v>
      </c>
      <c r="E3" s="3">
        <v>50</v>
      </c>
    </row>
    <row r="4" spans="1:5" x14ac:dyDescent="0.25">
      <c r="A4" s="3">
        <v>2</v>
      </c>
      <c r="B4" s="3">
        <v>95</v>
      </c>
      <c r="C4" s="1"/>
      <c r="D4" s="3">
        <v>2</v>
      </c>
      <c r="E4" s="3">
        <v>48</v>
      </c>
    </row>
    <row r="5" spans="1:5" x14ac:dyDescent="0.25">
      <c r="A5" s="3">
        <v>3</v>
      </c>
      <c r="B5" s="3">
        <v>90</v>
      </c>
      <c r="C5" s="1"/>
      <c r="D5" s="3">
        <v>3</v>
      </c>
      <c r="E5" s="3">
        <v>46</v>
      </c>
    </row>
    <row r="6" spans="1:5" x14ac:dyDescent="0.25">
      <c r="A6" s="3">
        <v>4</v>
      </c>
      <c r="B6" s="3">
        <v>85</v>
      </c>
      <c r="C6" s="1"/>
      <c r="D6" s="3">
        <v>4</v>
      </c>
      <c r="E6" s="3">
        <v>44</v>
      </c>
    </row>
    <row r="7" spans="1:5" x14ac:dyDescent="0.25">
      <c r="A7" s="3">
        <v>5</v>
      </c>
      <c r="B7" s="3">
        <v>80</v>
      </c>
      <c r="C7" s="1"/>
      <c r="D7" s="3">
        <v>5</v>
      </c>
      <c r="E7" s="3">
        <v>42</v>
      </c>
    </row>
    <row r="8" spans="1:5" x14ac:dyDescent="0.25">
      <c r="A8" s="3">
        <v>6</v>
      </c>
      <c r="B8" s="3">
        <v>75</v>
      </c>
      <c r="C8" s="1"/>
      <c r="D8" s="3">
        <v>6</v>
      </c>
      <c r="E8" s="3">
        <v>41</v>
      </c>
    </row>
    <row r="9" spans="1:5" x14ac:dyDescent="0.25">
      <c r="A9" s="3">
        <v>7</v>
      </c>
      <c r="B9" s="3">
        <v>73</v>
      </c>
      <c r="C9" s="1"/>
      <c r="D9" s="3">
        <v>7</v>
      </c>
      <c r="E9" s="3">
        <v>40</v>
      </c>
    </row>
    <row r="10" spans="1:5" x14ac:dyDescent="0.25">
      <c r="A10" s="3">
        <v>8</v>
      </c>
      <c r="B10" s="3">
        <v>71</v>
      </c>
      <c r="C10" s="1"/>
      <c r="D10" s="3">
        <v>8</v>
      </c>
      <c r="E10" s="3">
        <v>39</v>
      </c>
    </row>
    <row r="11" spans="1:5" x14ac:dyDescent="0.25">
      <c r="A11" s="3">
        <v>9</v>
      </c>
      <c r="B11" s="3">
        <v>69</v>
      </c>
      <c r="C11" s="1"/>
      <c r="D11" s="3">
        <v>9</v>
      </c>
      <c r="E11" s="3">
        <v>38</v>
      </c>
    </row>
    <row r="12" spans="1:5" x14ac:dyDescent="0.25">
      <c r="A12" s="3">
        <v>10</v>
      </c>
      <c r="B12" s="3">
        <v>67</v>
      </c>
      <c r="C12" s="1"/>
      <c r="D12" s="3">
        <v>10</v>
      </c>
      <c r="E12" s="3">
        <v>37</v>
      </c>
    </row>
    <row r="13" spans="1:5" x14ac:dyDescent="0.25">
      <c r="A13" s="3">
        <v>11</v>
      </c>
      <c r="B13" s="3">
        <v>65</v>
      </c>
      <c r="C13" s="1"/>
      <c r="D13" s="3">
        <v>11</v>
      </c>
      <c r="E13" s="3">
        <v>36</v>
      </c>
    </row>
    <row r="14" spans="1:5" x14ac:dyDescent="0.25">
      <c r="A14" s="3">
        <v>12</v>
      </c>
      <c r="B14" s="3">
        <v>63</v>
      </c>
      <c r="C14" s="1"/>
      <c r="D14" s="3">
        <v>12</v>
      </c>
      <c r="E14" s="3">
        <v>35</v>
      </c>
    </row>
    <row r="15" spans="1:5" x14ac:dyDescent="0.25">
      <c r="A15" s="3">
        <v>13</v>
      </c>
      <c r="B15" s="3">
        <v>61</v>
      </c>
      <c r="C15" s="1"/>
      <c r="D15" s="3">
        <v>13</v>
      </c>
      <c r="E15" s="3">
        <v>34</v>
      </c>
    </row>
    <row r="16" spans="1:5" x14ac:dyDescent="0.25">
      <c r="A16" s="3">
        <v>14</v>
      </c>
      <c r="B16" s="3">
        <v>59</v>
      </c>
      <c r="C16" s="1"/>
      <c r="D16" s="3">
        <v>14</v>
      </c>
      <c r="E16" s="3">
        <v>33</v>
      </c>
    </row>
    <row r="17" spans="1:5" x14ac:dyDescent="0.25">
      <c r="A17" s="3">
        <v>15</v>
      </c>
      <c r="B17" s="3">
        <v>57</v>
      </c>
      <c r="C17" s="1"/>
      <c r="D17" s="3">
        <v>15</v>
      </c>
      <c r="E17" s="3">
        <v>32</v>
      </c>
    </row>
    <row r="18" spans="1:5" x14ac:dyDescent="0.25">
      <c r="A18" s="3">
        <v>16</v>
      </c>
      <c r="B18" s="3">
        <v>55</v>
      </c>
      <c r="C18" s="1"/>
      <c r="D18" s="3">
        <v>16</v>
      </c>
      <c r="E18" s="3">
        <v>31</v>
      </c>
    </row>
    <row r="19" spans="1:5" x14ac:dyDescent="0.25">
      <c r="A19" s="3">
        <v>17</v>
      </c>
      <c r="B19" s="3">
        <v>53</v>
      </c>
      <c r="C19" s="1"/>
      <c r="D19" s="3">
        <v>17</v>
      </c>
      <c r="E19" s="3">
        <v>30</v>
      </c>
    </row>
    <row r="20" spans="1:5" x14ac:dyDescent="0.25">
      <c r="A20" s="3">
        <v>18</v>
      </c>
      <c r="B20" s="3">
        <v>51</v>
      </c>
      <c r="C20" s="1"/>
      <c r="D20" s="3">
        <v>18</v>
      </c>
      <c r="E20" s="3">
        <v>29</v>
      </c>
    </row>
    <row r="21" spans="1:5" ht="15.75" customHeight="1" x14ac:dyDescent="0.25">
      <c r="A21" s="3">
        <v>19</v>
      </c>
      <c r="B21" s="3">
        <v>49</v>
      </c>
      <c r="C21" s="1"/>
      <c r="D21" s="3">
        <v>19</v>
      </c>
      <c r="E21" s="3">
        <v>28</v>
      </c>
    </row>
    <row r="22" spans="1:5" ht="15.75" customHeight="1" x14ac:dyDescent="0.25">
      <c r="A22" s="3">
        <v>20</v>
      </c>
      <c r="B22" s="3">
        <v>47</v>
      </c>
      <c r="C22" s="1"/>
      <c r="D22" s="3">
        <v>20</v>
      </c>
      <c r="E22" s="3">
        <v>27</v>
      </c>
    </row>
    <row r="23" spans="1:5" ht="15.75" customHeight="1" x14ac:dyDescent="0.25">
      <c r="A23" s="3">
        <v>21</v>
      </c>
      <c r="B23" s="3">
        <v>45</v>
      </c>
      <c r="C23" s="1"/>
      <c r="D23" s="3">
        <v>21</v>
      </c>
      <c r="E23" s="3">
        <v>26</v>
      </c>
    </row>
    <row r="24" spans="1:5" ht="15.75" customHeight="1" x14ac:dyDescent="0.25">
      <c r="A24" s="3">
        <v>22</v>
      </c>
      <c r="B24" s="3">
        <v>43</v>
      </c>
      <c r="C24" s="1"/>
      <c r="D24" s="3">
        <v>22</v>
      </c>
      <c r="E24" s="3">
        <v>25</v>
      </c>
    </row>
    <row r="25" spans="1:5" ht="15.75" customHeight="1" x14ac:dyDescent="0.25">
      <c r="A25" s="3">
        <v>23</v>
      </c>
      <c r="B25" s="3">
        <v>41</v>
      </c>
      <c r="C25" s="1"/>
      <c r="D25" s="3">
        <v>23</v>
      </c>
      <c r="E25" s="3">
        <v>24</v>
      </c>
    </row>
    <row r="26" spans="1:5" ht="15.75" customHeight="1" x14ac:dyDescent="0.25">
      <c r="A26" s="3">
        <v>24</v>
      </c>
      <c r="B26" s="3">
        <v>39</v>
      </c>
      <c r="C26" s="1"/>
      <c r="D26" s="3">
        <v>24</v>
      </c>
      <c r="E26" s="3">
        <v>23</v>
      </c>
    </row>
    <row r="27" spans="1:5" ht="15.75" customHeight="1" x14ac:dyDescent="0.25">
      <c r="A27" s="3">
        <v>25</v>
      </c>
      <c r="B27" s="3">
        <v>37</v>
      </c>
      <c r="C27" s="1"/>
      <c r="D27" s="3">
        <v>25</v>
      </c>
      <c r="E27" s="3">
        <v>22</v>
      </c>
    </row>
    <row r="28" spans="1:5" ht="15.75" customHeight="1" x14ac:dyDescent="0.25">
      <c r="A28" s="3">
        <v>26</v>
      </c>
      <c r="B28" s="3">
        <v>35</v>
      </c>
      <c r="C28" s="1"/>
      <c r="D28" s="3">
        <v>26</v>
      </c>
      <c r="E28" s="3">
        <v>21</v>
      </c>
    </row>
    <row r="29" spans="1:5" ht="15.75" customHeight="1" x14ac:dyDescent="0.25">
      <c r="A29" s="3">
        <v>27</v>
      </c>
      <c r="B29" s="3">
        <v>33</v>
      </c>
      <c r="C29" s="1"/>
      <c r="D29" s="3">
        <v>27</v>
      </c>
      <c r="E29" s="3">
        <v>20</v>
      </c>
    </row>
    <row r="30" spans="1:5" ht="15.75" customHeight="1" x14ac:dyDescent="0.25">
      <c r="A30" s="3">
        <v>28</v>
      </c>
      <c r="B30" s="3">
        <v>31</v>
      </c>
      <c r="C30" s="1"/>
      <c r="D30" s="3">
        <v>28</v>
      </c>
      <c r="E30" s="3">
        <v>19</v>
      </c>
    </row>
    <row r="31" spans="1:5" ht="15.75" customHeight="1" x14ac:dyDescent="0.25">
      <c r="A31" s="3">
        <v>29</v>
      </c>
      <c r="B31" s="3">
        <v>29</v>
      </c>
      <c r="C31" s="1"/>
      <c r="D31" s="3">
        <v>29</v>
      </c>
      <c r="E31" s="3">
        <v>18</v>
      </c>
    </row>
    <row r="32" spans="1:5" ht="15.75" customHeight="1" x14ac:dyDescent="0.25">
      <c r="A32" s="3">
        <v>30</v>
      </c>
      <c r="B32" s="3">
        <v>27</v>
      </c>
      <c r="C32" s="1"/>
      <c r="D32" s="3">
        <v>30</v>
      </c>
      <c r="E32" s="3">
        <v>17</v>
      </c>
    </row>
    <row r="33" spans="1:5" ht="15.75" customHeight="1" x14ac:dyDescent="0.25">
      <c r="A33" s="3">
        <v>31</v>
      </c>
      <c r="B33" s="3">
        <v>26</v>
      </c>
      <c r="C33" s="1"/>
      <c r="D33" s="3">
        <v>31</v>
      </c>
      <c r="E33" s="3">
        <v>16</v>
      </c>
    </row>
    <row r="34" spans="1:5" ht="15.75" customHeight="1" x14ac:dyDescent="0.25">
      <c r="A34" s="3">
        <v>32</v>
      </c>
      <c r="B34" s="3">
        <v>25</v>
      </c>
      <c r="C34" s="1"/>
      <c r="D34" s="3">
        <v>32</v>
      </c>
      <c r="E34" s="3">
        <v>15</v>
      </c>
    </row>
    <row r="35" spans="1:5" ht="15.75" customHeight="1" x14ac:dyDescent="0.25">
      <c r="A35" s="3">
        <v>33</v>
      </c>
      <c r="B35" s="3">
        <v>24</v>
      </c>
      <c r="C35" s="1"/>
      <c r="D35" s="3">
        <v>33</v>
      </c>
      <c r="E35" s="3">
        <v>14</v>
      </c>
    </row>
    <row r="36" spans="1:5" ht="15.75" customHeight="1" x14ac:dyDescent="0.25">
      <c r="A36" s="3">
        <v>34</v>
      </c>
      <c r="B36" s="3">
        <v>23</v>
      </c>
      <c r="C36" s="1"/>
      <c r="D36" s="3">
        <v>34</v>
      </c>
      <c r="E36" s="3">
        <v>13</v>
      </c>
    </row>
    <row r="37" spans="1:5" ht="15.75" customHeight="1" x14ac:dyDescent="0.25">
      <c r="A37" s="3">
        <v>35</v>
      </c>
      <c r="B37" s="3">
        <v>22</v>
      </c>
      <c r="C37" s="1"/>
      <c r="D37" s="3">
        <v>35</v>
      </c>
      <c r="E37" s="3">
        <v>12</v>
      </c>
    </row>
    <row r="38" spans="1:5" ht="15.75" customHeight="1" x14ac:dyDescent="0.25">
      <c r="A38" s="3">
        <v>36</v>
      </c>
      <c r="B38" s="3">
        <v>21</v>
      </c>
      <c r="C38" s="1"/>
      <c r="D38" s="3">
        <v>36</v>
      </c>
      <c r="E38" s="3">
        <v>11</v>
      </c>
    </row>
    <row r="39" spans="1:5" ht="15.75" customHeight="1" x14ac:dyDescent="0.25">
      <c r="A39" s="3">
        <v>37</v>
      </c>
      <c r="B39" s="3">
        <v>20</v>
      </c>
      <c r="C39" s="1"/>
      <c r="D39" s="3">
        <v>37</v>
      </c>
      <c r="E39" s="3">
        <v>10</v>
      </c>
    </row>
    <row r="40" spans="1:5" ht="15.75" customHeight="1" x14ac:dyDescent="0.25">
      <c r="A40" s="3">
        <v>38</v>
      </c>
      <c r="B40" s="3">
        <v>19</v>
      </c>
      <c r="C40" s="1"/>
      <c r="D40" s="3">
        <v>38</v>
      </c>
      <c r="E40" s="3">
        <v>9</v>
      </c>
    </row>
    <row r="41" spans="1:5" ht="15.75" customHeight="1" x14ac:dyDescent="0.25">
      <c r="A41" s="3">
        <v>39</v>
      </c>
      <c r="B41" s="3">
        <v>18</v>
      </c>
      <c r="C41" s="1"/>
      <c r="D41" s="3">
        <v>39</v>
      </c>
      <c r="E41" s="3">
        <v>8</v>
      </c>
    </row>
    <row r="42" spans="1:5" ht="15.75" customHeight="1" x14ac:dyDescent="0.25">
      <c r="A42" s="3">
        <v>40</v>
      </c>
      <c r="B42" s="3">
        <v>17</v>
      </c>
      <c r="C42" s="1"/>
      <c r="D42" s="3">
        <v>40</v>
      </c>
      <c r="E42" s="3">
        <v>7</v>
      </c>
    </row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A1:B1"/>
    <mergeCell ref="D1:E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BB53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N16" sqref="N16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22.5703125" bestFit="1" customWidth="1"/>
    <col min="6" max="6" width="1.42578125" customWidth="1"/>
    <col min="7" max="7" width="5.570312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customWidth="1" collapsed="1"/>
    <col min="50" max="50" width="6.85546875" customWidth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</cols>
  <sheetData>
    <row r="1" spans="2:54" x14ac:dyDescent="0.25">
      <c r="B1" s="15"/>
      <c r="C1" s="15"/>
      <c r="D1" s="15"/>
      <c r="E1" s="8"/>
      <c r="F1" s="15"/>
      <c r="G1" s="19"/>
      <c r="H1" s="19"/>
      <c r="I1" s="20">
        <v>1</v>
      </c>
      <c r="J1" s="15"/>
      <c r="K1" s="3"/>
      <c r="L1" s="3"/>
      <c r="M1" s="3"/>
      <c r="N1" s="3"/>
      <c r="O1" s="3"/>
      <c r="P1" s="3"/>
      <c r="Q1" s="3"/>
      <c r="R1" s="1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U1" s="3"/>
      <c r="AV1" s="3"/>
      <c r="AW1" s="3"/>
      <c r="AX1" s="3"/>
      <c r="AY1" s="3"/>
      <c r="AZ1" s="3"/>
      <c r="BA1" s="3"/>
      <c r="BB1" s="10">
        <v>1</v>
      </c>
    </row>
    <row r="2" spans="2:54" x14ac:dyDescent="0.25">
      <c r="B2" s="15"/>
      <c r="C2" s="15"/>
      <c r="D2" s="15"/>
      <c r="E2" s="8"/>
      <c r="F2" s="15"/>
      <c r="G2" s="19"/>
      <c r="H2" s="19"/>
      <c r="I2" s="19"/>
      <c r="J2" s="15"/>
      <c r="K2" s="3"/>
      <c r="L2" s="3"/>
      <c r="M2" s="3"/>
      <c r="N2" s="21">
        <f>5*30</f>
        <v>150</v>
      </c>
      <c r="O2" s="3"/>
      <c r="P2" s="3"/>
      <c r="Q2" s="3"/>
      <c r="R2" s="3"/>
      <c r="T2" s="3"/>
      <c r="U2" s="3"/>
      <c r="V2" s="3"/>
      <c r="W2" s="21">
        <f>3*(3+10+3)</f>
        <v>48</v>
      </c>
      <c r="X2" s="3"/>
      <c r="Y2" s="3"/>
      <c r="Z2" s="3"/>
      <c r="AA2" s="3"/>
      <c r="AC2" s="3"/>
      <c r="AD2" s="3"/>
      <c r="AE2" s="3"/>
      <c r="AF2" s="21">
        <v>950</v>
      </c>
      <c r="AG2" s="3"/>
      <c r="AH2" s="3"/>
      <c r="AI2" s="3"/>
      <c r="AJ2" s="3"/>
      <c r="AL2" s="3"/>
      <c r="AM2" s="3"/>
      <c r="AN2" s="3"/>
      <c r="AO2" s="21">
        <v>190</v>
      </c>
      <c r="AP2" s="3"/>
      <c r="AQ2" s="3"/>
      <c r="AR2" s="3"/>
      <c r="AS2" s="3"/>
      <c r="AU2" s="3"/>
      <c r="AV2" s="3"/>
      <c r="AW2" s="3"/>
      <c r="AX2" s="21">
        <f>20+20+15+15+10+10</f>
        <v>90</v>
      </c>
      <c r="AY2" s="3"/>
      <c r="AZ2" s="3"/>
      <c r="BA2" s="3"/>
      <c r="BB2" s="3"/>
    </row>
    <row r="3" spans="2:54" x14ac:dyDescent="0.25">
      <c r="B3" s="15"/>
      <c r="C3" s="15"/>
      <c r="D3" s="15"/>
      <c r="E3" s="8"/>
      <c r="F3" s="15"/>
      <c r="G3" s="19"/>
      <c r="H3" s="19"/>
      <c r="I3" s="19"/>
      <c r="J3" s="15"/>
      <c r="K3" s="3"/>
      <c r="L3" s="3"/>
      <c r="M3" s="3"/>
      <c r="N3" s="4" t="s">
        <v>30</v>
      </c>
      <c r="O3" s="3"/>
      <c r="P3" s="3"/>
      <c r="Q3" s="3"/>
      <c r="R3" s="3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U3" s="3"/>
      <c r="AV3" s="3"/>
      <c r="AW3" s="3"/>
      <c r="AX3" s="4" t="s">
        <v>18</v>
      </c>
      <c r="AY3" s="3"/>
      <c r="AZ3" s="3"/>
      <c r="BA3" s="3"/>
      <c r="BB3" s="3"/>
    </row>
    <row r="4" spans="2:54" x14ac:dyDescent="0.25">
      <c r="B4" s="15"/>
      <c r="C4" s="15"/>
      <c r="D4" s="15"/>
      <c r="F4" s="15"/>
      <c r="G4" s="19"/>
      <c r="H4" s="19"/>
      <c r="I4" s="19"/>
      <c r="J4" s="15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</row>
    <row r="5" spans="2:54" ht="15" customHeight="1" x14ac:dyDescent="0.25">
      <c r="B5" s="31" t="s">
        <v>4</v>
      </c>
      <c r="C5" s="32"/>
      <c r="D5" s="16"/>
      <c r="E5" s="35" t="s">
        <v>34</v>
      </c>
      <c r="F5" s="16"/>
      <c r="G5" s="31" t="s">
        <v>19</v>
      </c>
      <c r="H5" s="43"/>
      <c r="I5" s="32"/>
      <c r="J5" s="16"/>
      <c r="K5" s="35" t="s">
        <v>20</v>
      </c>
      <c r="L5" s="36"/>
      <c r="M5" s="36"/>
      <c r="N5" s="36"/>
      <c r="O5" s="36"/>
      <c r="P5" s="36"/>
      <c r="Q5" s="36"/>
      <c r="R5" s="36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5" t="s">
        <v>6</v>
      </c>
      <c r="AV5" s="36"/>
      <c r="AW5" s="36"/>
      <c r="AX5" s="36"/>
      <c r="AY5" s="36"/>
      <c r="AZ5" s="36"/>
      <c r="BA5" s="36"/>
      <c r="BB5" s="36"/>
    </row>
    <row r="6" spans="2:54" x14ac:dyDescent="0.25">
      <c r="B6" s="33"/>
      <c r="C6" s="34"/>
      <c r="D6" s="17"/>
      <c r="E6" s="36"/>
      <c r="F6" s="17"/>
      <c r="G6" s="33"/>
      <c r="H6" s="44"/>
      <c r="I6" s="34"/>
      <c r="J6" s="17"/>
      <c r="K6" s="36"/>
      <c r="L6" s="36"/>
      <c r="M6" s="36"/>
      <c r="N6" s="36"/>
      <c r="O6" s="36"/>
      <c r="P6" s="36"/>
      <c r="Q6" s="36"/>
      <c r="R6" s="36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36"/>
      <c r="AV6" s="36"/>
      <c r="AW6" s="36"/>
      <c r="AX6" s="36"/>
      <c r="AY6" s="36"/>
      <c r="AZ6" s="36"/>
      <c r="BA6" s="36"/>
      <c r="BB6" s="36"/>
    </row>
    <row r="7" spans="2:54" ht="25.5" x14ac:dyDescent="0.25">
      <c r="B7" s="25" t="s">
        <v>7</v>
      </c>
      <c r="C7" s="25" t="s">
        <v>8</v>
      </c>
      <c r="D7" s="18"/>
      <c r="E7" s="26" t="s">
        <v>9</v>
      </c>
      <c r="F7" s="18"/>
      <c r="G7" s="28" t="s">
        <v>17</v>
      </c>
      <c r="H7" s="28" t="s">
        <v>13</v>
      </c>
      <c r="I7" s="28" t="s">
        <v>14</v>
      </c>
      <c r="J7" s="18"/>
      <c r="K7" s="7" t="s">
        <v>10</v>
      </c>
      <c r="L7" s="7" t="s">
        <v>11</v>
      </c>
      <c r="M7" s="7" t="s">
        <v>12</v>
      </c>
      <c r="N7" s="27" t="s">
        <v>15</v>
      </c>
      <c r="O7" s="7" t="s">
        <v>16</v>
      </c>
      <c r="P7" s="7" t="s">
        <v>12</v>
      </c>
      <c r="Q7" s="7" t="s">
        <v>13</v>
      </c>
      <c r="R7" s="7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12</v>
      </c>
      <c r="AX7" s="27" t="s">
        <v>15</v>
      </c>
      <c r="AY7" s="7" t="s">
        <v>16</v>
      </c>
      <c r="AZ7" s="7" t="s">
        <v>12</v>
      </c>
      <c r="BA7" s="7" t="s">
        <v>13</v>
      </c>
      <c r="BB7" s="7" t="s">
        <v>14</v>
      </c>
    </row>
    <row r="8" spans="2:54" x14ac:dyDescent="0.25">
      <c r="B8" s="16">
        <f>RANK(C8,C$8:C$14,0)</f>
        <v>1</v>
      </c>
      <c r="C8" s="16">
        <f>SUMIF($G$1:$BB$1,1,$G8:$BB8)</f>
        <v>600</v>
      </c>
      <c r="D8" s="14"/>
      <c r="E8" s="9" t="s">
        <v>63</v>
      </c>
      <c r="F8" s="14"/>
      <c r="G8" s="16">
        <f>56*12+60*3</f>
        <v>852</v>
      </c>
      <c r="H8" s="16">
        <f>RANK(G8,G$8:G$14,0)</f>
        <v>1</v>
      </c>
      <c r="I8" s="16">
        <f>VLOOKUP(H8,'Место-баллы'!$A$3:$B$52,2,0)</f>
        <v>100</v>
      </c>
      <c r="J8" s="14"/>
      <c r="K8" s="11">
        <v>10</v>
      </c>
      <c r="L8" s="11">
        <v>25</v>
      </c>
      <c r="M8" s="13">
        <f>TIME(0,K8,L8)</f>
        <v>7.2337962962962963E-3</v>
      </c>
      <c r="N8" s="11">
        <v>150</v>
      </c>
      <c r="O8" s="11">
        <f>N$2-N8</f>
        <v>0</v>
      </c>
      <c r="P8" s="13">
        <f>M8+TIME(0,0,O8)</f>
        <v>7.2337962962962963E-3</v>
      </c>
      <c r="Q8" s="11">
        <f>RANK(P8,P$8:P$14,1)</f>
        <v>1</v>
      </c>
      <c r="R8" s="16">
        <f>VLOOKUP(Q8,'Место-баллы'!$A$3:$B$52,2,0)</f>
        <v>100</v>
      </c>
      <c r="S8" s="12"/>
      <c r="T8" s="11">
        <v>7</v>
      </c>
      <c r="U8" s="11">
        <v>20</v>
      </c>
      <c r="V8" s="13">
        <f>TIME(0,T8,U8)</f>
        <v>5.0925925925925921E-3</v>
      </c>
      <c r="W8" s="11">
        <v>48</v>
      </c>
      <c r="X8" s="11">
        <f>W$2-W8</f>
        <v>0</v>
      </c>
      <c r="Y8" s="13">
        <f>V8+TIME(0,0,X8)</f>
        <v>5.0925925925925921E-3</v>
      </c>
      <c r="Z8" s="11">
        <f>RANK(Y8,Y$8:Y$14,1)</f>
        <v>1</v>
      </c>
      <c r="AA8" s="16">
        <f>VLOOKUP(Z8,'Место-баллы'!$A$3:$B$52,2,0)</f>
        <v>100</v>
      </c>
      <c r="AB8" s="12"/>
      <c r="AC8" s="11">
        <v>4</v>
      </c>
      <c r="AD8" s="11">
        <v>34</v>
      </c>
      <c r="AE8" s="13">
        <f>TIME(0,AC8,AD8)</f>
        <v>3.1712962962962958E-3</v>
      </c>
      <c r="AF8" s="11">
        <v>950</v>
      </c>
      <c r="AG8" s="11">
        <f>AF$2-AF8</f>
        <v>0</v>
      </c>
      <c r="AH8" s="13">
        <f>AE8+TIME(0,0,AG8)</f>
        <v>3.1712962962962958E-3</v>
      </c>
      <c r="AI8" s="11">
        <f>RANK(AH8,AH$8:AH$14,1)</f>
        <v>1</v>
      </c>
      <c r="AJ8" s="16">
        <f>VLOOKUP(AI8,'Место-баллы'!$A$3:$B$52,2,0)</f>
        <v>100</v>
      </c>
      <c r="AK8" s="12"/>
      <c r="AL8" s="11">
        <v>9</v>
      </c>
      <c r="AM8" s="11">
        <v>25</v>
      </c>
      <c r="AN8" s="13">
        <f>TIME(0,AL8,AM8)</f>
        <v>6.5393518518518517E-3</v>
      </c>
      <c r="AO8" s="11">
        <v>190</v>
      </c>
      <c r="AP8" s="11">
        <f>AO$2-AO8</f>
        <v>0</v>
      </c>
      <c r="AQ8" s="13">
        <f>AN8+TIME(0,0,AP8)</f>
        <v>6.5393518518518517E-3</v>
      </c>
      <c r="AR8" s="11">
        <f>RANK(AQ8,AQ$8:AQ$14,1)</f>
        <v>1</v>
      </c>
      <c r="AS8" s="16">
        <f>VLOOKUP(AR8,'Место-баллы'!$A$3:$B$52,2,0)</f>
        <v>100</v>
      </c>
      <c r="AT8" s="12"/>
      <c r="AU8" s="11">
        <v>3</v>
      </c>
      <c r="AV8" s="11">
        <v>44</v>
      </c>
      <c r="AW8" s="13">
        <f>TIME(0,AU8,AV8)</f>
        <v>2.5925925925925925E-3</v>
      </c>
      <c r="AX8" s="11">
        <v>90</v>
      </c>
      <c r="AY8" s="11">
        <f>AX$2-AX8</f>
        <v>0</v>
      </c>
      <c r="AZ8" s="13">
        <f>AW8+TIME(0,0,AY8)</f>
        <v>2.5925925925925925E-3</v>
      </c>
      <c r="BA8" s="11">
        <f>RANK(AZ8,AZ$8:AZ$14,1)</f>
        <v>1</v>
      </c>
      <c r="BB8" s="16">
        <f>VLOOKUP(BA8,'Место-баллы'!$A$3:$B$52,2,0)</f>
        <v>100</v>
      </c>
    </row>
    <row r="9" spans="2:54" x14ac:dyDescent="0.25">
      <c r="B9" s="16">
        <f>RANK(C9,C$8:C$14,0)</f>
        <v>2</v>
      </c>
      <c r="C9" s="16">
        <f>SUMIF($G$1:$BB$1,1,$G9:$BB9)</f>
        <v>545</v>
      </c>
      <c r="D9" s="14"/>
      <c r="E9" s="9" t="s">
        <v>64</v>
      </c>
      <c r="F9" s="14"/>
      <c r="G9" s="16">
        <f>52*15</f>
        <v>780</v>
      </c>
      <c r="H9" s="16">
        <f>RANK(G9,G$8:G$14,0)</f>
        <v>2</v>
      </c>
      <c r="I9" s="16">
        <f>VLOOKUP(H9,'Место-баллы'!$A$3:$B$52,2,0)</f>
        <v>95</v>
      </c>
      <c r="J9" s="14"/>
      <c r="K9" s="11">
        <v>12</v>
      </c>
      <c r="L9" s="11">
        <v>10</v>
      </c>
      <c r="M9" s="13">
        <f>TIME(0,K9,L9)</f>
        <v>8.4490740740740741E-3</v>
      </c>
      <c r="N9" s="11">
        <v>150</v>
      </c>
      <c r="O9" s="11">
        <f>N$2-N9</f>
        <v>0</v>
      </c>
      <c r="P9" s="13">
        <f>M9+TIME(0,0,O9)</f>
        <v>8.4490740740740741E-3</v>
      </c>
      <c r="Q9" s="11">
        <f>RANK(P9,P$8:P$14,1)</f>
        <v>3</v>
      </c>
      <c r="R9" s="16">
        <f>VLOOKUP(Q9,'Место-баллы'!$A$3:$B$52,2,0)</f>
        <v>90</v>
      </c>
      <c r="S9" s="12"/>
      <c r="T9" s="11">
        <v>9</v>
      </c>
      <c r="U9" s="11">
        <v>5</v>
      </c>
      <c r="V9" s="13">
        <f>TIME(0,T9,U9)</f>
        <v>6.3078703703703708E-3</v>
      </c>
      <c r="W9" s="11">
        <v>35</v>
      </c>
      <c r="X9" s="11">
        <f>W$2-W9</f>
        <v>13</v>
      </c>
      <c r="Y9" s="13">
        <f>V9+TIME(0,0,X9)</f>
        <v>6.4583333333333342E-3</v>
      </c>
      <c r="Z9" s="11">
        <f>RANK(Y9,Y$8:Y$14,1)</f>
        <v>5</v>
      </c>
      <c r="AA9" s="16">
        <f>VLOOKUP(Z9,'Место-баллы'!$A$3:$B$52,2,0)</f>
        <v>80</v>
      </c>
      <c r="AB9" s="12"/>
      <c r="AC9" s="11">
        <v>4</v>
      </c>
      <c r="AD9" s="11">
        <v>57</v>
      </c>
      <c r="AE9" s="13">
        <f>TIME(0,AC9,AD9)</f>
        <v>3.4375E-3</v>
      </c>
      <c r="AF9" s="11">
        <v>950</v>
      </c>
      <c r="AG9" s="11">
        <f>AF$2-AF9</f>
        <v>0</v>
      </c>
      <c r="AH9" s="13">
        <f>AE9+TIME(0,0,AG9)</f>
        <v>3.4375E-3</v>
      </c>
      <c r="AI9" s="11">
        <f>RANK(AH9,AH$8:AH$14,1)</f>
        <v>2</v>
      </c>
      <c r="AJ9" s="16">
        <f>VLOOKUP(AI9,'Место-баллы'!$A$3:$B$52,2,0)</f>
        <v>95</v>
      </c>
      <c r="AK9" s="12"/>
      <c r="AL9" s="11">
        <v>10</v>
      </c>
      <c r="AM9" s="11">
        <v>31</v>
      </c>
      <c r="AN9" s="13">
        <f>TIME(0,AL9,AM9)</f>
        <v>7.3032407407407412E-3</v>
      </c>
      <c r="AO9" s="11">
        <v>190</v>
      </c>
      <c r="AP9" s="11">
        <f>AO$2-AO9</f>
        <v>0</v>
      </c>
      <c r="AQ9" s="13">
        <f>AN9+TIME(0,0,AP9)</f>
        <v>7.3032407407407412E-3</v>
      </c>
      <c r="AR9" s="11">
        <f>RANK(AQ9,AQ$8:AQ$14,1)</f>
        <v>3</v>
      </c>
      <c r="AS9" s="16">
        <f>VLOOKUP(AR9,'Место-баллы'!$A$3:$B$52,2,0)</f>
        <v>90</v>
      </c>
      <c r="AT9" s="12"/>
      <c r="AU9" s="11">
        <v>4</v>
      </c>
      <c r="AV9" s="11">
        <v>34</v>
      </c>
      <c r="AW9" s="13">
        <f>TIME(0,AU9,AV9)</f>
        <v>3.1712962962962958E-3</v>
      </c>
      <c r="AX9" s="11">
        <v>90</v>
      </c>
      <c r="AY9" s="11">
        <f>AX$2-AX9</f>
        <v>0</v>
      </c>
      <c r="AZ9" s="13">
        <f>AW9+TIME(0,0,AY9)</f>
        <v>3.1712962962962958E-3</v>
      </c>
      <c r="BA9" s="11">
        <f>RANK(AZ9,AZ$8:AZ$14,1)</f>
        <v>2</v>
      </c>
      <c r="BB9" s="16">
        <f>VLOOKUP(BA9,'Место-баллы'!$A$3:$B$52,2,0)</f>
        <v>95</v>
      </c>
    </row>
    <row r="10" spans="2:54" x14ac:dyDescent="0.25">
      <c r="B10" s="16">
        <f>RANK(C10,C$8:C$14,0)</f>
        <v>3</v>
      </c>
      <c r="C10" s="16">
        <f>SUMIF($G$1:$BB$1,1,$G10:$BB10)</f>
        <v>535</v>
      </c>
      <c r="D10" s="14"/>
      <c r="E10" s="9" t="s">
        <v>65</v>
      </c>
      <c r="F10" s="14"/>
      <c r="G10" s="16">
        <f>45*9+50*3+52*3</f>
        <v>711</v>
      </c>
      <c r="H10" s="16">
        <f>RANK(G10,G$8:G$14,0)</f>
        <v>4</v>
      </c>
      <c r="I10" s="16">
        <f>VLOOKUP(H10,'Место-баллы'!$A$3:$B$52,2,0)</f>
        <v>85</v>
      </c>
      <c r="J10" s="14"/>
      <c r="K10" s="11">
        <v>12</v>
      </c>
      <c r="L10" s="11">
        <v>0</v>
      </c>
      <c r="M10" s="13">
        <f>TIME(0,K10,L10)</f>
        <v>8.3333333333333332E-3</v>
      </c>
      <c r="N10" s="11">
        <v>150</v>
      </c>
      <c r="O10" s="11">
        <f>N$2-N10</f>
        <v>0</v>
      </c>
      <c r="P10" s="13">
        <f>M10+TIME(0,0,O10)</f>
        <v>8.3333333333333332E-3</v>
      </c>
      <c r="Q10" s="11">
        <f>RANK(P10,P$8:P$14,1)</f>
        <v>2</v>
      </c>
      <c r="R10" s="16">
        <f>VLOOKUP(Q10,'Место-баллы'!$A$3:$B$52,2,0)</f>
        <v>95</v>
      </c>
      <c r="S10" s="12"/>
      <c r="T10" s="11">
        <v>7</v>
      </c>
      <c r="U10" s="11">
        <v>42</v>
      </c>
      <c r="V10" s="13">
        <f>TIME(0,T10,U10)</f>
        <v>5.347222222222222E-3</v>
      </c>
      <c r="W10" s="11">
        <v>48</v>
      </c>
      <c r="X10" s="11">
        <f>W$2-W10</f>
        <v>0</v>
      </c>
      <c r="Y10" s="13">
        <f>V10+TIME(0,0,X10)</f>
        <v>5.347222222222222E-3</v>
      </c>
      <c r="Z10" s="11">
        <f>RANK(Y10,Y$8:Y$14,1)</f>
        <v>2</v>
      </c>
      <c r="AA10" s="16">
        <f>VLOOKUP(Z10,'Место-баллы'!$A$3:$B$52,2,0)</f>
        <v>95</v>
      </c>
      <c r="AB10" s="12"/>
      <c r="AC10" s="11">
        <v>5</v>
      </c>
      <c r="AD10" s="11">
        <v>14</v>
      </c>
      <c r="AE10" s="13">
        <f>TIME(0,AC10,AD10)</f>
        <v>3.6342592592592594E-3</v>
      </c>
      <c r="AF10" s="11">
        <v>950</v>
      </c>
      <c r="AG10" s="11">
        <f>AF$2-AF10</f>
        <v>0</v>
      </c>
      <c r="AH10" s="13">
        <f>AE10+TIME(0,0,AG10)</f>
        <v>3.6342592592592594E-3</v>
      </c>
      <c r="AI10" s="11">
        <f>RANK(AH10,AH$8:AH$14,1)</f>
        <v>4</v>
      </c>
      <c r="AJ10" s="16">
        <f>VLOOKUP(AI10,'Место-баллы'!$A$3:$B$52,2,0)</f>
        <v>85</v>
      </c>
      <c r="AK10" s="12"/>
      <c r="AL10" s="11">
        <v>11</v>
      </c>
      <c r="AM10" s="11">
        <v>6</v>
      </c>
      <c r="AN10" s="13">
        <f>TIME(0,AL10,AM10)</f>
        <v>7.7083333333333335E-3</v>
      </c>
      <c r="AO10" s="11">
        <v>190</v>
      </c>
      <c r="AP10" s="11">
        <f>AO$2-AO10</f>
        <v>0</v>
      </c>
      <c r="AQ10" s="13">
        <f>AN10+TIME(0,0,AP10)</f>
        <v>7.7083333333333335E-3</v>
      </c>
      <c r="AR10" s="11">
        <f>RANK(AQ10,AQ$8:AQ$14,1)</f>
        <v>4</v>
      </c>
      <c r="AS10" s="16">
        <f>VLOOKUP(AR10,'Место-баллы'!$A$3:$B$52,2,0)</f>
        <v>85</v>
      </c>
      <c r="AT10" s="12"/>
      <c r="AU10" s="11">
        <v>6</v>
      </c>
      <c r="AV10" s="11">
        <v>5</v>
      </c>
      <c r="AW10" s="13">
        <f>TIME(0,AU10,AV10)</f>
        <v>4.2245370370370371E-3</v>
      </c>
      <c r="AX10" s="11">
        <v>85</v>
      </c>
      <c r="AY10" s="11">
        <f>AX$2-AX10</f>
        <v>5</v>
      </c>
      <c r="AZ10" s="13">
        <f>AW10+TIME(0,0,AY10)</f>
        <v>4.2824074074074075E-3</v>
      </c>
      <c r="BA10" s="11">
        <f>RANK(AZ10,AZ$8:AZ$14,1)</f>
        <v>3</v>
      </c>
      <c r="BB10" s="16">
        <f>VLOOKUP(BA10,'Место-баллы'!$A$3:$B$52,2,0)</f>
        <v>90</v>
      </c>
    </row>
    <row r="11" spans="2:54" x14ac:dyDescent="0.25">
      <c r="B11" s="16">
        <f>RANK(C11,C$8:C$14,0)</f>
        <v>4</v>
      </c>
      <c r="C11" s="16">
        <f>SUMIF($G$1:$BB$1,1,$G11:$BB11)</f>
        <v>520</v>
      </c>
      <c r="D11" s="14"/>
      <c r="E11" s="9" t="s">
        <v>61</v>
      </c>
      <c r="F11" s="14"/>
      <c r="G11" s="16">
        <f>45*6+47*9</f>
        <v>693</v>
      </c>
      <c r="H11" s="16">
        <f>RANK(G11,G$8:G$14,0)</f>
        <v>5</v>
      </c>
      <c r="I11" s="16">
        <f>VLOOKUP(H11,'Место-баллы'!$A$3:$B$52,2,0)</f>
        <v>80</v>
      </c>
      <c r="J11" s="14"/>
      <c r="K11" s="11">
        <v>12</v>
      </c>
      <c r="L11" s="11">
        <v>42</v>
      </c>
      <c r="M11" s="13">
        <f>TIME(0,K11,L11)</f>
        <v>8.819444444444444E-3</v>
      </c>
      <c r="N11" s="11">
        <v>150</v>
      </c>
      <c r="O11" s="11">
        <f>N$2-N11</f>
        <v>0</v>
      </c>
      <c r="P11" s="13">
        <f>M11+TIME(0,0,O11)</f>
        <v>8.819444444444444E-3</v>
      </c>
      <c r="Q11" s="11">
        <f>RANK(P11,P$8:P$14,1)</f>
        <v>4</v>
      </c>
      <c r="R11" s="16">
        <f>VLOOKUP(Q11,'Место-баллы'!$A$3:$B$52,2,0)</f>
        <v>85</v>
      </c>
      <c r="S11" s="12"/>
      <c r="T11" s="11">
        <v>9</v>
      </c>
      <c r="U11" s="11">
        <v>5</v>
      </c>
      <c r="V11" s="13">
        <f>TIME(0,T11,U11)</f>
        <v>6.3078703703703708E-3</v>
      </c>
      <c r="W11" s="11">
        <v>45</v>
      </c>
      <c r="X11" s="11">
        <f>W$2-W11</f>
        <v>3</v>
      </c>
      <c r="Y11" s="13">
        <f>V11+TIME(0,0,X11)</f>
        <v>6.3425925925925932E-3</v>
      </c>
      <c r="Z11" s="11">
        <f>RANK(Y11,Y$8:Y$14,1)</f>
        <v>4</v>
      </c>
      <c r="AA11" s="16">
        <f>VLOOKUP(Z11,'Место-баллы'!$A$3:$B$52,2,0)</f>
        <v>85</v>
      </c>
      <c r="AB11" s="12"/>
      <c r="AC11" s="11">
        <v>5</v>
      </c>
      <c r="AD11" s="11">
        <v>6</v>
      </c>
      <c r="AE11" s="13">
        <f>TIME(0,AC11,AD11)</f>
        <v>3.5416666666666665E-3</v>
      </c>
      <c r="AF11" s="11">
        <v>950</v>
      </c>
      <c r="AG11" s="11">
        <f>AF$2-AF11</f>
        <v>0</v>
      </c>
      <c r="AH11" s="13">
        <f>AE11+TIME(0,0,AG11)</f>
        <v>3.5416666666666665E-3</v>
      </c>
      <c r="AI11" s="11">
        <f>RANK(AH11,AH$8:AH$14,1)</f>
        <v>3</v>
      </c>
      <c r="AJ11" s="16">
        <f>VLOOKUP(AI11,'Место-баллы'!$A$3:$B$52,2,0)</f>
        <v>90</v>
      </c>
      <c r="AK11" s="12"/>
      <c r="AL11" s="11">
        <v>10</v>
      </c>
      <c r="AM11" s="11">
        <v>24</v>
      </c>
      <c r="AN11" s="13">
        <f>TIME(0,AL11,AM11)</f>
        <v>7.2222222222222228E-3</v>
      </c>
      <c r="AO11" s="11">
        <v>190</v>
      </c>
      <c r="AP11" s="11">
        <f>AO$2-AO11</f>
        <v>0</v>
      </c>
      <c r="AQ11" s="13">
        <f>AN11+TIME(0,0,AP11)</f>
        <v>7.2222222222222228E-3</v>
      </c>
      <c r="AR11" s="11">
        <f>RANK(AQ11,AQ$8:AQ$14,1)</f>
        <v>2</v>
      </c>
      <c r="AS11" s="16">
        <f>VLOOKUP(AR11,'Место-баллы'!$A$3:$B$52,2,0)</f>
        <v>95</v>
      </c>
      <c r="AT11" s="12"/>
      <c r="AU11" s="11">
        <v>6</v>
      </c>
      <c r="AV11" s="11">
        <v>5</v>
      </c>
      <c r="AW11" s="13">
        <f>TIME(0,AU11,AV11)</f>
        <v>4.2245370370370371E-3</v>
      </c>
      <c r="AX11" s="11">
        <v>79</v>
      </c>
      <c r="AY11" s="11">
        <f>AX$2-AX11</f>
        <v>11</v>
      </c>
      <c r="AZ11" s="13">
        <f>AW11+TIME(0,0,AY11)</f>
        <v>4.3518518518518515E-3</v>
      </c>
      <c r="BA11" s="11">
        <f>RANK(AZ11,AZ$8:AZ$14,1)</f>
        <v>4</v>
      </c>
      <c r="BB11" s="16">
        <f>VLOOKUP(BA11,'Место-баллы'!$A$3:$B$52,2,0)</f>
        <v>85</v>
      </c>
    </row>
    <row r="12" spans="2:54" x14ac:dyDescent="0.25">
      <c r="B12" s="16">
        <f>RANK(C12,C$8:C$14,0)</f>
        <v>5</v>
      </c>
      <c r="C12" s="16">
        <f>SUMIF($G$1:$BB$1,1,$G12:$BB12)</f>
        <v>405</v>
      </c>
      <c r="D12" s="14"/>
      <c r="E12" s="9" t="s">
        <v>60</v>
      </c>
      <c r="F12" s="14"/>
      <c r="G12" s="16">
        <f>50*15</f>
        <v>750</v>
      </c>
      <c r="H12" s="16">
        <f>RANK(G12,G$8:G$14,0)</f>
        <v>3</v>
      </c>
      <c r="I12" s="16">
        <f>VLOOKUP(H12,'Место-баллы'!$A$3:$B$52,2,0)</f>
        <v>90</v>
      </c>
      <c r="J12" s="14"/>
      <c r="K12" s="11">
        <v>12</v>
      </c>
      <c r="L12" s="11">
        <v>48</v>
      </c>
      <c r="M12" s="13">
        <f>TIME(0,K12,L12)</f>
        <v>8.8888888888888889E-3</v>
      </c>
      <c r="N12" s="11">
        <v>150</v>
      </c>
      <c r="O12" s="11">
        <f>N$2-N12</f>
        <v>0</v>
      </c>
      <c r="P12" s="13">
        <f>M12+TIME(0,0,O12)</f>
        <v>8.8888888888888889E-3</v>
      </c>
      <c r="Q12" s="11">
        <f>RANK(P12,P$8:P$14,1)</f>
        <v>5</v>
      </c>
      <c r="R12" s="16">
        <f>VLOOKUP(Q12,'Место-баллы'!$A$3:$B$52,2,0)</f>
        <v>80</v>
      </c>
      <c r="S12" s="12"/>
      <c r="T12" s="11">
        <v>9</v>
      </c>
      <c r="U12" s="11">
        <v>5</v>
      </c>
      <c r="V12" s="13">
        <f>TIME(0,T12,U12)</f>
        <v>6.3078703703703708E-3</v>
      </c>
      <c r="W12" s="11">
        <v>35</v>
      </c>
      <c r="X12" s="11">
        <f>W$2-W12</f>
        <v>13</v>
      </c>
      <c r="Y12" s="13">
        <f>V12+TIME(0,0,X12)</f>
        <v>6.4583333333333342E-3</v>
      </c>
      <c r="Z12" s="11">
        <f>RANK(Y12,Y$8:Y$14,1)</f>
        <v>5</v>
      </c>
      <c r="AA12" s="16">
        <f>VLOOKUP(Z12,'Место-баллы'!$A$3:$B$52,2,0)</f>
        <v>80</v>
      </c>
      <c r="AB12" s="12"/>
      <c r="AC12" s="11">
        <v>5</v>
      </c>
      <c r="AD12" s="11">
        <v>32</v>
      </c>
      <c r="AE12" s="13">
        <f>TIME(0,AC12,AD12)</f>
        <v>3.8425925925925923E-3</v>
      </c>
      <c r="AF12" s="11">
        <v>950</v>
      </c>
      <c r="AG12" s="11">
        <f>AF$2-AF12</f>
        <v>0</v>
      </c>
      <c r="AH12" s="13">
        <f>AE12+TIME(0,0,AG12)</f>
        <v>3.8425925925925923E-3</v>
      </c>
      <c r="AI12" s="11">
        <f>RANK(AH12,AH$8:AH$14,1)</f>
        <v>6</v>
      </c>
      <c r="AJ12" s="16">
        <f>VLOOKUP(AI12,'Место-баллы'!$A$3:$B$52,2,0)</f>
        <v>75</v>
      </c>
      <c r="AK12" s="12"/>
      <c r="AL12" s="11">
        <v>12</v>
      </c>
      <c r="AM12" s="11">
        <v>5</v>
      </c>
      <c r="AN12" s="13">
        <f>TIME(0,AL12,AM12)</f>
        <v>8.3912037037037045E-3</v>
      </c>
      <c r="AO12" s="11">
        <v>171</v>
      </c>
      <c r="AP12" s="11">
        <f>AO$2-AO12</f>
        <v>19</v>
      </c>
      <c r="AQ12" s="13">
        <f>AN12+TIME(0,0,AP12)</f>
        <v>8.6111111111111128E-3</v>
      </c>
      <c r="AR12" s="11">
        <f>RANK(AQ12,AQ$8:AQ$14,1)</f>
        <v>5</v>
      </c>
      <c r="AS12" s="16">
        <f>VLOOKUP(AR12,'Место-баллы'!$A$3:$B$52,2,0)</f>
        <v>80</v>
      </c>
      <c r="AT12" s="12"/>
      <c r="AU12" s="11">
        <v>6</v>
      </c>
      <c r="AV12" s="11">
        <v>5</v>
      </c>
      <c r="AW12" s="13">
        <f>TIME(0,AU12,AV12)</f>
        <v>4.2245370370370371E-3</v>
      </c>
      <c r="AX12" s="11">
        <v>0</v>
      </c>
      <c r="AY12" s="11">
        <f>AX$2-AX12</f>
        <v>90</v>
      </c>
      <c r="AZ12" s="13">
        <f>AW12+TIME(0,0,AY12)</f>
        <v>5.2662037037037035E-3</v>
      </c>
      <c r="BA12" s="11">
        <f>RANK(AZ12,AZ$8:AZ$14,1)</f>
        <v>5</v>
      </c>
      <c r="BB12" s="16">
        <v>0</v>
      </c>
    </row>
    <row r="13" spans="2:54" x14ac:dyDescent="0.25">
      <c r="B13" s="16">
        <f>RANK(C13,C$8:C$14,0)</f>
        <v>6</v>
      </c>
      <c r="C13" s="16">
        <f>SUMIF($G$1:$BB$1,1,$G13:$BB13)</f>
        <v>374</v>
      </c>
      <c r="D13" s="14"/>
      <c r="E13" s="22" t="s">
        <v>59</v>
      </c>
      <c r="F13" s="14"/>
      <c r="G13" s="16">
        <f>35*3+45*9</f>
        <v>510</v>
      </c>
      <c r="H13" s="16">
        <f>RANK(G13,G$8:G$14,0)</f>
        <v>7</v>
      </c>
      <c r="I13" s="16">
        <f>VLOOKUP(H13,'Место-баллы'!$A$3:$B$52,2,0)</f>
        <v>73</v>
      </c>
      <c r="J13" s="14"/>
      <c r="K13" s="11">
        <v>15</v>
      </c>
      <c r="L13" s="11">
        <v>5</v>
      </c>
      <c r="M13" s="13">
        <f>TIME(0,K13,L13)</f>
        <v>1.0474537037037037E-2</v>
      </c>
      <c r="N13" s="11">
        <v>139</v>
      </c>
      <c r="O13" s="11">
        <f>N$2-N13</f>
        <v>11</v>
      </c>
      <c r="P13" s="13">
        <f>M13+TIME(0,0,O13)</f>
        <v>1.0601851851851852E-2</v>
      </c>
      <c r="Q13" s="11">
        <f>RANK(P13,P$8:P$14,1)</f>
        <v>7</v>
      </c>
      <c r="R13" s="16">
        <f>VLOOKUP(Q13,'Место-баллы'!$A$3:$B$52,2,0)</f>
        <v>73</v>
      </c>
      <c r="S13" s="12"/>
      <c r="T13" s="11">
        <v>9</v>
      </c>
      <c r="U13" s="11">
        <v>5</v>
      </c>
      <c r="V13" s="13">
        <f>TIME(0,T13,U13)</f>
        <v>6.3078703703703708E-3</v>
      </c>
      <c r="W13" s="11">
        <v>13</v>
      </c>
      <c r="X13" s="11">
        <f>W$2-W13</f>
        <v>35</v>
      </c>
      <c r="Y13" s="13">
        <f>V13+TIME(0,0,X13)</f>
        <v>6.7129629629629631E-3</v>
      </c>
      <c r="Z13" s="11">
        <f>RANK(Y13,Y$8:Y$14,1)</f>
        <v>7</v>
      </c>
      <c r="AA13" s="16">
        <f>VLOOKUP(Z13,'Место-баллы'!$A$3:$B$52,2,0)</f>
        <v>73</v>
      </c>
      <c r="AB13" s="12"/>
      <c r="AC13" s="11">
        <v>5</v>
      </c>
      <c r="AD13" s="11">
        <v>26</v>
      </c>
      <c r="AE13" s="13">
        <f>TIME(0,AC13,AD13)</f>
        <v>3.7731481481481483E-3</v>
      </c>
      <c r="AF13" s="11">
        <v>950</v>
      </c>
      <c r="AG13" s="11">
        <f>AF$2-AF13</f>
        <v>0</v>
      </c>
      <c r="AH13" s="13">
        <f>AE13+TIME(0,0,AG13)</f>
        <v>3.7731481481481483E-3</v>
      </c>
      <c r="AI13" s="11">
        <f>RANK(AH13,AH$8:AH$14,1)</f>
        <v>5</v>
      </c>
      <c r="AJ13" s="16">
        <f>VLOOKUP(AI13,'Место-баллы'!$A$3:$B$52,2,0)</f>
        <v>80</v>
      </c>
      <c r="AK13" s="12"/>
      <c r="AL13" s="11">
        <v>12</v>
      </c>
      <c r="AM13" s="11">
        <v>5</v>
      </c>
      <c r="AN13" s="13">
        <f>TIME(0,AL13,AM13)</f>
        <v>8.3912037037037045E-3</v>
      </c>
      <c r="AO13" s="11">
        <v>162</v>
      </c>
      <c r="AP13" s="11">
        <f>AO$2-AO13</f>
        <v>28</v>
      </c>
      <c r="AQ13" s="13">
        <f>AN13+TIME(0,0,AP13)</f>
        <v>8.7152777777777784E-3</v>
      </c>
      <c r="AR13" s="11">
        <f>RANK(AQ13,AQ$8:AQ$14,1)</f>
        <v>6</v>
      </c>
      <c r="AS13" s="16">
        <f>VLOOKUP(AR13,'Место-баллы'!$A$3:$B$52,2,0)</f>
        <v>75</v>
      </c>
      <c r="AT13" s="12"/>
      <c r="AU13" s="11">
        <v>6</v>
      </c>
      <c r="AV13" s="11">
        <v>5</v>
      </c>
      <c r="AW13" s="13">
        <f>TIME(0,AU13,AV13)</f>
        <v>4.2245370370370371E-3</v>
      </c>
      <c r="AX13" s="11">
        <v>0</v>
      </c>
      <c r="AY13" s="11">
        <f>AX$2-AX13</f>
        <v>90</v>
      </c>
      <c r="AZ13" s="13">
        <f>AW13+TIME(0,0,AY13)</f>
        <v>5.2662037037037035E-3</v>
      </c>
      <c r="BA13" s="11">
        <f>RANK(AZ13,AZ$8:AZ$14,1)</f>
        <v>5</v>
      </c>
      <c r="BB13" s="16">
        <v>0</v>
      </c>
    </row>
    <row r="14" spans="2:54" x14ac:dyDescent="0.25">
      <c r="B14" s="16">
        <f>RANK(C14,C$8:C$14,0)</f>
        <v>7</v>
      </c>
      <c r="C14" s="16">
        <f>SUMIF($G$1:$BB$1,1,$G14:$BB14)</f>
        <v>240</v>
      </c>
      <c r="D14" s="14"/>
      <c r="E14" s="9" t="s">
        <v>62</v>
      </c>
      <c r="F14" s="14"/>
      <c r="G14" s="16">
        <f>46*15</f>
        <v>690</v>
      </c>
      <c r="H14" s="16">
        <f>RANK(G14,G$8:G$14,0)</f>
        <v>6</v>
      </c>
      <c r="I14" s="16">
        <f>VLOOKUP(H14,'Место-баллы'!$A$3:$B$52,2,0)</f>
        <v>75</v>
      </c>
      <c r="J14" s="14"/>
      <c r="K14" s="11">
        <v>13</v>
      </c>
      <c r="L14" s="11">
        <v>28</v>
      </c>
      <c r="M14" s="13">
        <f>TIME(0,K14,L14)</f>
        <v>9.3518518518518525E-3</v>
      </c>
      <c r="N14" s="11">
        <v>150</v>
      </c>
      <c r="O14" s="11">
        <f>N$2-N14</f>
        <v>0</v>
      </c>
      <c r="P14" s="13">
        <f>M14+TIME(0,0,O14)</f>
        <v>9.3518518518518525E-3</v>
      </c>
      <c r="Q14" s="11">
        <f>RANK(P14,P$8:P$14,1)</f>
        <v>6</v>
      </c>
      <c r="R14" s="16">
        <f>VLOOKUP(Q14,'Место-баллы'!$A$3:$B$52,2,0)</f>
        <v>75</v>
      </c>
      <c r="S14" s="12"/>
      <c r="T14" s="11">
        <v>9</v>
      </c>
      <c r="U14" s="11">
        <v>5</v>
      </c>
      <c r="V14" s="13">
        <f>TIME(0,T14,U14)</f>
        <v>6.3078703703703708E-3</v>
      </c>
      <c r="W14" s="11">
        <v>47</v>
      </c>
      <c r="X14" s="11">
        <f>W$2-W14</f>
        <v>1</v>
      </c>
      <c r="Y14" s="13">
        <f>V14+TIME(0,0,X14)</f>
        <v>6.3194444444444452E-3</v>
      </c>
      <c r="Z14" s="11">
        <f>RANK(Y14,Y$8:Y$14,1)</f>
        <v>3</v>
      </c>
      <c r="AA14" s="16">
        <f>VLOOKUP(Z14,'Место-баллы'!$A$3:$B$52,2,0)</f>
        <v>90</v>
      </c>
      <c r="AB14" s="12"/>
      <c r="AC14" s="11">
        <v>12</v>
      </c>
      <c r="AD14" s="11">
        <v>5</v>
      </c>
      <c r="AE14" s="13">
        <f>TIME(0,AC14,AD14)</f>
        <v>8.3912037037037045E-3</v>
      </c>
      <c r="AF14" s="11">
        <v>0</v>
      </c>
      <c r="AG14" s="11">
        <f>AF$2-AF14</f>
        <v>950</v>
      </c>
      <c r="AH14" s="13">
        <f>AE14+TIME(0,0,AG14)</f>
        <v>1.9386574074074077E-2</v>
      </c>
      <c r="AI14" s="11">
        <f>RANK(AH14,AH$8:AH$14,1)</f>
        <v>7</v>
      </c>
      <c r="AJ14" s="16">
        <v>0</v>
      </c>
      <c r="AK14" s="12"/>
      <c r="AL14" s="11">
        <v>12</v>
      </c>
      <c r="AM14" s="11">
        <v>5</v>
      </c>
      <c r="AN14" s="13">
        <f>TIME(0,AL14,AM14)</f>
        <v>8.3912037037037045E-3</v>
      </c>
      <c r="AO14" s="11">
        <v>0</v>
      </c>
      <c r="AP14" s="11">
        <f>AO$2-AO14</f>
        <v>190</v>
      </c>
      <c r="AQ14" s="13">
        <f>AN14+TIME(0,0,AP14)</f>
        <v>1.0590277777777778E-2</v>
      </c>
      <c r="AR14" s="11">
        <f>RANK(AQ14,AQ$8:AQ$14,1)</f>
        <v>7</v>
      </c>
      <c r="AS14" s="16">
        <v>0</v>
      </c>
      <c r="AT14" s="12"/>
      <c r="AU14" s="11">
        <v>6</v>
      </c>
      <c r="AV14" s="11">
        <v>5</v>
      </c>
      <c r="AW14" s="13">
        <f>TIME(0,AU14,AV14)</f>
        <v>4.2245370370370371E-3</v>
      </c>
      <c r="AX14" s="11">
        <v>0</v>
      </c>
      <c r="AY14" s="11">
        <f>AX$2-AX14</f>
        <v>90</v>
      </c>
      <c r="AZ14" s="13">
        <f>AW14+TIME(0,0,AY14)</f>
        <v>5.2662037037037035E-3</v>
      </c>
      <c r="BA14" s="11">
        <f>RANK(AZ14,AZ$8:AZ$14,1)</f>
        <v>5</v>
      </c>
      <c r="BB14" s="16">
        <v>0</v>
      </c>
    </row>
    <row r="15" spans="2:54" ht="18.75" customHeight="1" x14ac:dyDescent="0.25"/>
    <row r="16" spans="2:54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8.75" customHeight="1" x14ac:dyDescent="0.25"/>
    <row r="29" ht="18.75" customHeight="1" x14ac:dyDescent="0.25"/>
    <row r="30" ht="18.75" customHeight="1" x14ac:dyDescent="0.25"/>
    <row r="31" ht="18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</sheetData>
  <autoFilter ref="B7:BB7" xr:uid="{00000000-0001-0000-0900-000000000000}">
    <sortState xmlns:xlrd2="http://schemas.microsoft.com/office/spreadsheetml/2017/richdata2" ref="B8:BB14">
      <sortCondition ref="B7"/>
    </sortState>
  </autoFilter>
  <mergeCells count="8">
    <mergeCell ref="AL5:AS6"/>
    <mergeCell ref="AU5:BB6"/>
    <mergeCell ref="B5:C6"/>
    <mergeCell ref="E5:E6"/>
    <mergeCell ref="G5:I6"/>
    <mergeCell ref="K5:R6"/>
    <mergeCell ref="T5:AA6"/>
    <mergeCell ref="AC5:AJ6"/>
  </mergeCells>
  <printOptions horizontalCentered="1" verticalCentered="1"/>
  <pageMargins left="0" right="0" top="0" bottom="0" header="0" footer="0"/>
  <pageSetup paperSize="9" scale="66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BB72"/>
  <sheetViews>
    <sheetView tabSelected="1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27" sqref="F27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21.42578125" bestFit="1" customWidth="1"/>
    <col min="6" max="6" width="1.42578125" customWidth="1"/>
    <col min="7" max="7" width="5.570312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customWidth="1" collapsed="1"/>
    <col min="50" max="50" width="6.85546875" customWidth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</cols>
  <sheetData>
    <row r="1" spans="2:54" x14ac:dyDescent="0.25">
      <c r="B1" s="15"/>
      <c r="C1" s="15"/>
      <c r="D1" s="15"/>
      <c r="E1" s="8"/>
      <c r="F1" s="15"/>
      <c r="G1" s="19"/>
      <c r="H1" s="19"/>
      <c r="I1" s="20">
        <v>1</v>
      </c>
      <c r="J1" s="15"/>
      <c r="K1" s="3"/>
      <c r="L1" s="3"/>
      <c r="M1" s="3"/>
      <c r="N1" s="3"/>
      <c r="O1" s="3"/>
      <c r="P1" s="3"/>
      <c r="Q1" s="3"/>
      <c r="R1" s="1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U1" s="3"/>
      <c r="AV1" s="3"/>
      <c r="AW1" s="3"/>
      <c r="AX1" s="3"/>
      <c r="AY1" s="3"/>
      <c r="AZ1" s="3"/>
      <c r="BA1" s="3"/>
      <c r="BB1" s="10">
        <v>1</v>
      </c>
    </row>
    <row r="2" spans="2:54" x14ac:dyDescent="0.25">
      <c r="B2" s="15"/>
      <c r="C2" s="15"/>
      <c r="D2" s="15"/>
      <c r="E2" s="8"/>
      <c r="F2" s="15"/>
      <c r="G2" s="19"/>
      <c r="H2" s="19"/>
      <c r="I2" s="19"/>
      <c r="J2" s="15"/>
      <c r="K2" s="3"/>
      <c r="L2" s="3"/>
      <c r="M2" s="3"/>
      <c r="N2" s="21">
        <f>5*30</f>
        <v>150</v>
      </c>
      <c r="O2" s="3"/>
      <c r="P2" s="3"/>
      <c r="Q2" s="3"/>
      <c r="R2" s="3"/>
      <c r="T2" s="3"/>
      <c r="U2" s="3"/>
      <c r="V2" s="3"/>
      <c r="W2" s="21">
        <f>3*(3+10+3)</f>
        <v>48</v>
      </c>
      <c r="X2" s="3"/>
      <c r="Y2" s="3"/>
      <c r="Z2" s="3"/>
      <c r="AA2" s="3"/>
      <c r="AC2" s="3"/>
      <c r="AD2" s="3"/>
      <c r="AE2" s="3"/>
      <c r="AF2" s="21">
        <v>1150</v>
      </c>
      <c r="AG2" s="3"/>
      <c r="AH2" s="3"/>
      <c r="AI2" s="3"/>
      <c r="AJ2" s="3"/>
      <c r="AL2" s="3"/>
      <c r="AM2" s="3"/>
      <c r="AN2" s="3"/>
      <c r="AO2" s="21">
        <v>210</v>
      </c>
      <c r="AP2" s="3"/>
      <c r="AQ2" s="3"/>
      <c r="AR2" s="3"/>
      <c r="AS2" s="3"/>
      <c r="AU2" s="3"/>
      <c r="AV2" s="3"/>
      <c r="AW2" s="3"/>
      <c r="AX2" s="21">
        <f>20+20+15+15+10+10</f>
        <v>90</v>
      </c>
      <c r="AY2" s="3"/>
      <c r="AZ2" s="3"/>
      <c r="BA2" s="3"/>
      <c r="BB2" s="3"/>
    </row>
    <row r="3" spans="2:54" x14ac:dyDescent="0.25">
      <c r="B3" s="15"/>
      <c r="C3" s="15"/>
      <c r="D3" s="15"/>
      <c r="E3" s="8"/>
      <c r="F3" s="15"/>
      <c r="G3" s="19"/>
      <c r="H3" s="19"/>
      <c r="I3" s="19"/>
      <c r="J3" s="15"/>
      <c r="K3" s="3"/>
      <c r="L3" s="3"/>
      <c r="M3" s="3"/>
      <c r="N3" s="4" t="s">
        <v>30</v>
      </c>
      <c r="O3" s="3"/>
      <c r="P3" s="3"/>
      <c r="Q3" s="3"/>
      <c r="R3" s="3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U3" s="3"/>
      <c r="AV3" s="3"/>
      <c r="AW3" s="3"/>
      <c r="AX3" s="4" t="s">
        <v>18</v>
      </c>
      <c r="AY3" s="3"/>
      <c r="AZ3" s="3"/>
      <c r="BA3" s="3"/>
      <c r="BB3" s="3"/>
    </row>
    <row r="4" spans="2:54" x14ac:dyDescent="0.25">
      <c r="B4" s="15"/>
      <c r="C4" s="15"/>
      <c r="D4" s="15"/>
      <c r="F4" s="15"/>
      <c r="G4" s="19"/>
      <c r="H4" s="19"/>
      <c r="I4" s="19"/>
      <c r="J4" s="15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</row>
    <row r="5" spans="2:54" ht="15" customHeight="1" x14ac:dyDescent="0.25">
      <c r="B5" s="31" t="s">
        <v>4</v>
      </c>
      <c r="C5" s="32"/>
      <c r="D5" s="16"/>
      <c r="E5" s="35" t="s">
        <v>35</v>
      </c>
      <c r="F5" s="16"/>
      <c r="G5" s="31" t="s">
        <v>19</v>
      </c>
      <c r="H5" s="43"/>
      <c r="I5" s="32"/>
      <c r="J5" s="16"/>
      <c r="K5" s="35" t="s">
        <v>20</v>
      </c>
      <c r="L5" s="36"/>
      <c r="M5" s="36"/>
      <c r="N5" s="36"/>
      <c r="O5" s="36"/>
      <c r="P5" s="36"/>
      <c r="Q5" s="36"/>
      <c r="R5" s="36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5" t="s">
        <v>6</v>
      </c>
      <c r="AV5" s="36"/>
      <c r="AW5" s="36"/>
      <c r="AX5" s="36"/>
      <c r="AY5" s="36"/>
      <c r="AZ5" s="36"/>
      <c r="BA5" s="36"/>
      <c r="BB5" s="36"/>
    </row>
    <row r="6" spans="2:54" x14ac:dyDescent="0.25">
      <c r="B6" s="33"/>
      <c r="C6" s="34"/>
      <c r="D6" s="17"/>
      <c r="E6" s="36"/>
      <c r="F6" s="17"/>
      <c r="G6" s="33"/>
      <c r="H6" s="44"/>
      <c r="I6" s="34"/>
      <c r="J6" s="17"/>
      <c r="K6" s="36"/>
      <c r="L6" s="36"/>
      <c r="M6" s="36"/>
      <c r="N6" s="36"/>
      <c r="O6" s="36"/>
      <c r="P6" s="36"/>
      <c r="Q6" s="36"/>
      <c r="R6" s="36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36"/>
      <c r="AV6" s="36"/>
      <c r="AW6" s="36"/>
      <c r="AX6" s="36"/>
      <c r="AY6" s="36"/>
      <c r="AZ6" s="36"/>
      <c r="BA6" s="36"/>
      <c r="BB6" s="36"/>
    </row>
    <row r="7" spans="2:54" ht="25.5" x14ac:dyDescent="0.25">
      <c r="B7" s="25" t="s">
        <v>7</v>
      </c>
      <c r="C7" s="25" t="s">
        <v>8</v>
      </c>
      <c r="D7" s="18"/>
      <c r="E7" s="26" t="s">
        <v>9</v>
      </c>
      <c r="F7" s="18"/>
      <c r="G7" s="28" t="s">
        <v>17</v>
      </c>
      <c r="H7" s="28" t="s">
        <v>13</v>
      </c>
      <c r="I7" s="28" t="s">
        <v>14</v>
      </c>
      <c r="J7" s="18"/>
      <c r="K7" s="7" t="s">
        <v>10</v>
      </c>
      <c r="L7" s="7" t="s">
        <v>11</v>
      </c>
      <c r="M7" s="7" t="s">
        <v>12</v>
      </c>
      <c r="N7" s="27" t="s">
        <v>15</v>
      </c>
      <c r="O7" s="7" t="s">
        <v>16</v>
      </c>
      <c r="P7" s="7" t="s">
        <v>12</v>
      </c>
      <c r="Q7" s="7" t="s">
        <v>13</v>
      </c>
      <c r="R7" s="7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12</v>
      </c>
      <c r="AX7" s="27" t="s">
        <v>15</v>
      </c>
      <c r="AY7" s="7" t="s">
        <v>16</v>
      </c>
      <c r="AZ7" s="7" t="s">
        <v>12</v>
      </c>
      <c r="BA7" s="7" t="s">
        <v>13</v>
      </c>
      <c r="BB7" s="7" t="s">
        <v>14</v>
      </c>
    </row>
    <row r="8" spans="2:54" x14ac:dyDescent="0.25">
      <c r="B8" s="16">
        <f>RANK(C8,C$8:C$33,0)</f>
        <v>1</v>
      </c>
      <c r="C8" s="16">
        <f>SUMIF($G$1:$BB$1,1,$G8:$BB8)</f>
        <v>520</v>
      </c>
      <c r="D8" s="14"/>
      <c r="E8" s="22" t="s">
        <v>83</v>
      </c>
      <c r="F8" s="14"/>
      <c r="G8" s="16">
        <f>92*15</f>
        <v>1380</v>
      </c>
      <c r="H8" s="16">
        <f>RANK(G8,G$8:G$33,0)</f>
        <v>2</v>
      </c>
      <c r="I8" s="16">
        <f>VLOOKUP(H8,'Место-баллы'!$A$3:$B$52,2,0)</f>
        <v>95</v>
      </c>
      <c r="J8" s="14"/>
      <c r="K8" s="11">
        <v>11</v>
      </c>
      <c r="L8" s="11">
        <v>21</v>
      </c>
      <c r="M8" s="13">
        <f>TIME(0,K8,L8)</f>
        <v>7.8819444444444432E-3</v>
      </c>
      <c r="N8" s="11">
        <v>150</v>
      </c>
      <c r="O8" s="11">
        <f>N$2-N8</f>
        <v>0</v>
      </c>
      <c r="P8" s="13">
        <f>M8+TIME(0,0,O8)</f>
        <v>7.8819444444444432E-3</v>
      </c>
      <c r="Q8" s="11">
        <f>RANK(P8,P$8:P$33,1)</f>
        <v>6</v>
      </c>
      <c r="R8" s="16">
        <f>VLOOKUP(Q8,'Место-баллы'!$A$3:$B$52,2,0)</f>
        <v>75</v>
      </c>
      <c r="S8" s="12"/>
      <c r="T8" s="11">
        <v>7</v>
      </c>
      <c r="U8" s="11">
        <v>22</v>
      </c>
      <c r="V8" s="13">
        <f>TIME(0,T8,U8)</f>
        <v>5.115740740740741E-3</v>
      </c>
      <c r="W8" s="11">
        <v>48</v>
      </c>
      <c r="X8" s="11">
        <f>W$2-W8</f>
        <v>0</v>
      </c>
      <c r="Y8" s="13">
        <f>V8+TIME(0,0,X8)</f>
        <v>5.115740740740741E-3</v>
      </c>
      <c r="Z8" s="11">
        <f>RANK(Y8,Y$8:Y$33,1)</f>
        <v>1</v>
      </c>
      <c r="AA8" s="16">
        <f>VLOOKUP(Z8,'Место-баллы'!$A$3:$B$52,2,0)</f>
        <v>100</v>
      </c>
      <c r="AB8" s="12"/>
      <c r="AC8" s="11">
        <v>4</v>
      </c>
      <c r="AD8" s="11">
        <v>57</v>
      </c>
      <c r="AE8" s="13">
        <f>TIME(0,AC8,AD8)</f>
        <v>3.4375E-3</v>
      </c>
      <c r="AF8" s="11">
        <v>1150</v>
      </c>
      <c r="AG8" s="11">
        <f>AF$2-AF8</f>
        <v>0</v>
      </c>
      <c r="AH8" s="13">
        <f>AE8+TIME(0,0,AG8)</f>
        <v>3.4375E-3</v>
      </c>
      <c r="AI8" s="11">
        <f>RANK(AH8,AH$8:AH$33,1)</f>
        <v>4</v>
      </c>
      <c r="AJ8" s="16">
        <f>VLOOKUP(AI8,'Место-баллы'!$A$3:$B$52,2,0)</f>
        <v>85</v>
      </c>
      <c r="AK8" s="12"/>
      <c r="AL8" s="11">
        <v>10</v>
      </c>
      <c r="AM8" s="11">
        <v>22</v>
      </c>
      <c r="AN8" s="13">
        <f>TIME(0,AL8,AM8)</f>
        <v>7.1990740740740739E-3</v>
      </c>
      <c r="AO8" s="11">
        <v>210</v>
      </c>
      <c r="AP8" s="11">
        <f>AO$2-AO8</f>
        <v>0</v>
      </c>
      <c r="AQ8" s="13">
        <f>AN8+TIME(0,0,AP8)</f>
        <v>7.1990740740740739E-3</v>
      </c>
      <c r="AR8" s="11">
        <f>RANK(AQ8,AQ$8:AQ$33,1)</f>
        <v>5</v>
      </c>
      <c r="AS8" s="16">
        <f>VLOOKUP(AR8,'Место-баллы'!$A$3:$B$52,2,0)</f>
        <v>80</v>
      </c>
      <c r="AT8" s="12"/>
      <c r="AU8" s="11">
        <v>3</v>
      </c>
      <c r="AV8" s="11">
        <v>14</v>
      </c>
      <c r="AW8" s="13">
        <f>TIME(0,AU8,AV8)</f>
        <v>2.2453703703703702E-3</v>
      </c>
      <c r="AX8" s="11">
        <v>90</v>
      </c>
      <c r="AY8" s="11">
        <f>AX$2-AX8</f>
        <v>0</v>
      </c>
      <c r="AZ8" s="13">
        <f>AW8+TIME(0,0,AY8)</f>
        <v>2.2453703703703702E-3</v>
      </c>
      <c r="BA8" s="11">
        <f>RANK(AZ8,AZ$8:AZ$33,1)</f>
        <v>4</v>
      </c>
      <c r="BB8" s="16">
        <f>VLOOKUP(BA8,'Место-баллы'!$A$3:$B$52,2,0)</f>
        <v>85</v>
      </c>
    </row>
    <row r="9" spans="2:54" x14ac:dyDescent="0.25">
      <c r="B9" s="16">
        <f>RANK(C9,C$8:C$33,0)</f>
        <v>2</v>
      </c>
      <c r="C9" s="16">
        <f>SUMIF($G$1:$BB$1,1,$G9:$BB9)</f>
        <v>518</v>
      </c>
      <c r="D9" s="14"/>
      <c r="E9" s="22" t="s">
        <v>85</v>
      </c>
      <c r="F9" s="14"/>
      <c r="G9" s="16">
        <f>86*15</f>
        <v>1290</v>
      </c>
      <c r="H9" s="16">
        <f>RANK(G9,G$8:G$33,0)</f>
        <v>7</v>
      </c>
      <c r="I9" s="16">
        <f>VLOOKUP(H9,'Место-баллы'!$A$3:$B$52,2,0)</f>
        <v>73</v>
      </c>
      <c r="J9" s="14"/>
      <c r="K9" s="11">
        <v>10</v>
      </c>
      <c r="L9" s="11">
        <v>9</v>
      </c>
      <c r="M9" s="13">
        <f>TIME(0,K9,L9)</f>
        <v>7.0486111111111105E-3</v>
      </c>
      <c r="N9" s="11">
        <v>150</v>
      </c>
      <c r="O9" s="11">
        <f>N$2-N9</f>
        <v>0</v>
      </c>
      <c r="P9" s="13">
        <f>M9+TIME(0,0,O9)</f>
        <v>7.0486111111111105E-3</v>
      </c>
      <c r="Q9" s="11">
        <f>RANK(P9,P$8:P$33,1)</f>
        <v>2</v>
      </c>
      <c r="R9" s="16">
        <f>VLOOKUP(Q9,'Место-баллы'!$A$3:$B$52,2,0)</f>
        <v>95</v>
      </c>
      <c r="S9" s="12"/>
      <c r="T9" s="11">
        <v>8</v>
      </c>
      <c r="U9" s="11">
        <v>20</v>
      </c>
      <c r="V9" s="13">
        <f>TIME(0,T9,U9)</f>
        <v>5.7870370370370376E-3</v>
      </c>
      <c r="W9" s="11">
        <v>48</v>
      </c>
      <c r="X9" s="11">
        <f>W$2-W9</f>
        <v>0</v>
      </c>
      <c r="Y9" s="13">
        <f>V9+TIME(0,0,X9)</f>
        <v>5.7870370370370376E-3</v>
      </c>
      <c r="Z9" s="11">
        <f>RANK(Y9,Y$8:Y$33,1)</f>
        <v>4</v>
      </c>
      <c r="AA9" s="16">
        <f>VLOOKUP(Z9,'Место-баллы'!$A$3:$B$52,2,0)</f>
        <v>85</v>
      </c>
      <c r="AB9" s="12"/>
      <c r="AC9" s="11">
        <v>5</v>
      </c>
      <c r="AD9" s="11">
        <v>0</v>
      </c>
      <c r="AE9" s="13">
        <f>TIME(0,AC9,AD9)</f>
        <v>3.472222222222222E-3</v>
      </c>
      <c r="AF9" s="11">
        <v>1150</v>
      </c>
      <c r="AG9" s="11">
        <f>AF$2-AF9</f>
        <v>0</v>
      </c>
      <c r="AH9" s="13">
        <f>AE9+TIME(0,0,AG9)</f>
        <v>3.472222222222222E-3</v>
      </c>
      <c r="AI9" s="11">
        <f>RANK(AH9,AH$8:AH$33,1)</f>
        <v>5</v>
      </c>
      <c r="AJ9" s="16">
        <f>VLOOKUP(AI9,'Место-баллы'!$A$3:$B$52,2,0)</f>
        <v>80</v>
      </c>
      <c r="AK9" s="12"/>
      <c r="AL9" s="11">
        <v>10</v>
      </c>
      <c r="AM9" s="11">
        <v>1</v>
      </c>
      <c r="AN9" s="13">
        <f>TIME(0,AL9,AM9)</f>
        <v>6.9560185185185185E-3</v>
      </c>
      <c r="AO9" s="11">
        <v>210</v>
      </c>
      <c r="AP9" s="11">
        <f>AO$2-AO9</f>
        <v>0</v>
      </c>
      <c r="AQ9" s="13">
        <f>AN9+TIME(0,0,AP9)</f>
        <v>6.9560185185185185E-3</v>
      </c>
      <c r="AR9" s="11">
        <f>RANK(AQ9,AQ$8:AQ$33,1)</f>
        <v>3</v>
      </c>
      <c r="AS9" s="16">
        <f>VLOOKUP(AR9,'Место-баллы'!$A$3:$B$52,2,0)</f>
        <v>90</v>
      </c>
      <c r="AT9" s="12"/>
      <c r="AU9" s="11">
        <v>3</v>
      </c>
      <c r="AV9" s="11">
        <v>0</v>
      </c>
      <c r="AW9" s="13">
        <f>TIME(0,AU9,AV9)</f>
        <v>2.0833333333333333E-3</v>
      </c>
      <c r="AX9" s="11">
        <v>90</v>
      </c>
      <c r="AY9" s="11">
        <f>AX$2-AX9</f>
        <v>0</v>
      </c>
      <c r="AZ9" s="13">
        <f>AW9+TIME(0,0,AY9)</f>
        <v>2.0833333333333333E-3</v>
      </c>
      <c r="BA9" s="11">
        <f>RANK(AZ9,AZ$8:AZ$33,1)</f>
        <v>2</v>
      </c>
      <c r="BB9" s="16">
        <f>VLOOKUP(BA9,'Место-баллы'!$A$3:$B$52,2,0)</f>
        <v>95</v>
      </c>
    </row>
    <row r="10" spans="2:54" x14ac:dyDescent="0.25">
      <c r="B10" s="16">
        <f>RANK(C10,C$8:C$33,0)</f>
        <v>3</v>
      </c>
      <c r="C10" s="16">
        <f>SUMIF($G$1:$BB$1,1,$G10:$BB10)</f>
        <v>513</v>
      </c>
      <c r="D10" s="14"/>
      <c r="E10" s="22" t="s">
        <v>86</v>
      </c>
      <c r="F10" s="14"/>
      <c r="G10" s="16">
        <f>90*15</f>
        <v>1350</v>
      </c>
      <c r="H10" s="16">
        <f>RANK(G10,G$8:G$33,0)</f>
        <v>3</v>
      </c>
      <c r="I10" s="16">
        <f>VLOOKUP(H10,'Место-баллы'!$A$3:$B$52,2,0)</f>
        <v>90</v>
      </c>
      <c r="J10" s="14"/>
      <c r="K10" s="11">
        <v>11</v>
      </c>
      <c r="L10" s="11">
        <v>17</v>
      </c>
      <c r="M10" s="13">
        <f>TIME(0,K10,L10)</f>
        <v>7.8356481481481489E-3</v>
      </c>
      <c r="N10" s="11">
        <v>150</v>
      </c>
      <c r="O10" s="11">
        <f>N$2-N10</f>
        <v>0</v>
      </c>
      <c r="P10" s="13">
        <f>M10+TIME(0,0,O10)</f>
        <v>7.8356481481481489E-3</v>
      </c>
      <c r="Q10" s="11">
        <f>RANK(P10,P$8:P$33,1)</f>
        <v>5</v>
      </c>
      <c r="R10" s="16">
        <f>VLOOKUP(Q10,'Место-баллы'!$A$3:$B$52,2,0)</f>
        <v>80</v>
      </c>
      <c r="S10" s="12"/>
      <c r="T10" s="11">
        <v>8</v>
      </c>
      <c r="U10" s="11">
        <v>51</v>
      </c>
      <c r="V10" s="13">
        <f>TIME(0,T10,U10)</f>
        <v>6.145833333333333E-3</v>
      </c>
      <c r="W10" s="11">
        <v>48</v>
      </c>
      <c r="X10" s="11">
        <f>W$2-W10</f>
        <v>0</v>
      </c>
      <c r="Y10" s="13">
        <f>V10+TIME(0,0,X10)</f>
        <v>6.145833333333333E-3</v>
      </c>
      <c r="Z10" s="11">
        <f>RANK(Y10,Y$8:Y$33,1)</f>
        <v>7</v>
      </c>
      <c r="AA10" s="16">
        <f>VLOOKUP(Z10,'Место-баллы'!$A$3:$B$52,2,0)</f>
        <v>73</v>
      </c>
      <c r="AB10" s="12"/>
      <c r="AC10" s="11">
        <v>4</v>
      </c>
      <c r="AD10" s="11">
        <v>54</v>
      </c>
      <c r="AE10" s="13">
        <f>TIME(0,AC10,AD10)</f>
        <v>3.4027777777777784E-3</v>
      </c>
      <c r="AF10" s="11">
        <v>1150</v>
      </c>
      <c r="AG10" s="11">
        <f>AF$2-AF10</f>
        <v>0</v>
      </c>
      <c r="AH10" s="13">
        <f>AE10+TIME(0,0,AG10)</f>
        <v>3.4027777777777784E-3</v>
      </c>
      <c r="AI10" s="11">
        <f>RANK(AH10,AH$8:AH$33,1)</f>
        <v>2</v>
      </c>
      <c r="AJ10" s="16">
        <f>VLOOKUP(AI10,'Место-баллы'!$A$3:$B$52,2,0)</f>
        <v>95</v>
      </c>
      <c r="AK10" s="12"/>
      <c r="AL10" s="11">
        <v>9</v>
      </c>
      <c r="AM10" s="11">
        <v>30</v>
      </c>
      <c r="AN10" s="13">
        <f>TIME(0,AL10,AM10)</f>
        <v>6.5972222222222222E-3</v>
      </c>
      <c r="AO10" s="11">
        <v>210</v>
      </c>
      <c r="AP10" s="11">
        <f>AO$2-AO10</f>
        <v>0</v>
      </c>
      <c r="AQ10" s="13">
        <f>AN10+TIME(0,0,AP10)</f>
        <v>6.5972222222222222E-3</v>
      </c>
      <c r="AR10" s="11">
        <f>RANK(AQ10,AQ$8:AQ$33,1)</f>
        <v>1</v>
      </c>
      <c r="AS10" s="16">
        <f>VLOOKUP(AR10,'Место-баллы'!$A$3:$B$52,2,0)</f>
        <v>100</v>
      </c>
      <c r="AT10" s="12"/>
      <c r="AU10" s="11">
        <v>3</v>
      </c>
      <c r="AV10" s="11">
        <v>57</v>
      </c>
      <c r="AW10" s="13">
        <f>TIME(0,AU10,AV10)</f>
        <v>2.7430555555555559E-3</v>
      </c>
      <c r="AX10" s="11">
        <v>90</v>
      </c>
      <c r="AY10" s="11">
        <f>AX$2-AX10</f>
        <v>0</v>
      </c>
      <c r="AZ10" s="13">
        <f>AW10+TIME(0,0,AY10)</f>
        <v>2.7430555555555559E-3</v>
      </c>
      <c r="BA10" s="11">
        <f>RANK(AZ10,AZ$8:AZ$33,1)</f>
        <v>6</v>
      </c>
      <c r="BB10" s="16">
        <f>VLOOKUP(BA10,'Место-баллы'!$A$3:$B$52,2,0)</f>
        <v>75</v>
      </c>
    </row>
    <row r="11" spans="2:54" x14ac:dyDescent="0.25">
      <c r="B11" s="16">
        <f>RANK(C11,C$8:C$33,0)</f>
        <v>4</v>
      </c>
      <c r="C11" s="16">
        <f>SUMIF($G$1:$BB$1,1,$G11:$BB11)</f>
        <v>499</v>
      </c>
      <c r="D11" s="14"/>
      <c r="E11" s="22" t="s">
        <v>92</v>
      </c>
      <c r="F11" s="14"/>
      <c r="G11" s="16">
        <f>90*15</f>
        <v>1350</v>
      </c>
      <c r="H11" s="16">
        <f>RANK(G11,G$8:G$33,0)</f>
        <v>3</v>
      </c>
      <c r="I11" s="16">
        <f>VLOOKUP(H11,'Место-баллы'!$A$3:$B$52,2,0)</f>
        <v>90</v>
      </c>
      <c r="J11" s="14"/>
      <c r="K11" s="11">
        <v>10</v>
      </c>
      <c r="L11" s="11">
        <v>28</v>
      </c>
      <c r="M11" s="13">
        <f>TIME(0,K11,L11)</f>
        <v>7.2685185185185188E-3</v>
      </c>
      <c r="N11" s="11">
        <v>150</v>
      </c>
      <c r="O11" s="11">
        <f>N$2-N11</f>
        <v>0</v>
      </c>
      <c r="P11" s="13">
        <f>M11+TIME(0,0,O11)</f>
        <v>7.2685185185185188E-3</v>
      </c>
      <c r="Q11" s="11">
        <f>RANK(P11,P$8:P$33,1)</f>
        <v>3</v>
      </c>
      <c r="R11" s="16">
        <f>VLOOKUP(Q11,'Место-баллы'!$A$3:$B$52,2,0)</f>
        <v>90</v>
      </c>
      <c r="S11" s="12"/>
      <c r="T11" s="11">
        <v>8</v>
      </c>
      <c r="U11" s="11">
        <v>41</v>
      </c>
      <c r="V11" s="13">
        <f>TIME(0,T11,U11)</f>
        <v>6.030092592592593E-3</v>
      </c>
      <c r="W11" s="11">
        <v>48</v>
      </c>
      <c r="X11" s="11">
        <f>W$2-W11</f>
        <v>0</v>
      </c>
      <c r="Y11" s="13">
        <f>V11+TIME(0,0,X11)</f>
        <v>6.030092592592593E-3</v>
      </c>
      <c r="Z11" s="11">
        <f>RANK(Y11,Y$8:Y$33,1)</f>
        <v>6</v>
      </c>
      <c r="AA11" s="16">
        <f>VLOOKUP(Z11,'Место-баллы'!$A$3:$B$52,2,0)</f>
        <v>75</v>
      </c>
      <c r="AB11" s="12"/>
      <c r="AC11" s="11">
        <v>5</v>
      </c>
      <c r="AD11" s="11">
        <v>5</v>
      </c>
      <c r="AE11" s="13">
        <f>TIME(0,AC11,AD11)</f>
        <v>3.530092592592592E-3</v>
      </c>
      <c r="AF11" s="11">
        <v>1150</v>
      </c>
      <c r="AG11" s="11">
        <f>AF$2-AF11</f>
        <v>0</v>
      </c>
      <c r="AH11" s="13">
        <f>AE11+TIME(0,0,AG11)</f>
        <v>3.530092592592592E-3</v>
      </c>
      <c r="AI11" s="11">
        <f>RANK(AH11,AH$8:AH$33,1)</f>
        <v>7</v>
      </c>
      <c r="AJ11" s="16">
        <f>VLOOKUP(AI11,'Место-баллы'!$A$3:$B$52,2,0)</f>
        <v>73</v>
      </c>
      <c r="AK11" s="12"/>
      <c r="AL11" s="11">
        <v>10</v>
      </c>
      <c r="AM11" s="11">
        <v>40</v>
      </c>
      <c r="AN11" s="13">
        <f>TIME(0,AL11,AM11)</f>
        <v>7.4074074074074068E-3</v>
      </c>
      <c r="AO11" s="11">
        <v>210</v>
      </c>
      <c r="AP11" s="11">
        <f>AO$2-AO11</f>
        <v>0</v>
      </c>
      <c r="AQ11" s="13">
        <f>AN11+TIME(0,0,AP11)</f>
        <v>7.4074074074074068E-3</v>
      </c>
      <c r="AR11" s="11">
        <f>RANK(AQ11,AQ$8:AQ$33,1)</f>
        <v>8</v>
      </c>
      <c r="AS11" s="16">
        <f>VLOOKUP(AR11,'Место-баллы'!$A$3:$B$52,2,0)</f>
        <v>71</v>
      </c>
      <c r="AT11" s="12"/>
      <c r="AU11" s="11">
        <v>2</v>
      </c>
      <c r="AV11" s="11">
        <v>53</v>
      </c>
      <c r="AW11" s="13">
        <f>TIME(0,AU11,AV11)</f>
        <v>2.0023148148148148E-3</v>
      </c>
      <c r="AX11" s="11">
        <v>90</v>
      </c>
      <c r="AY11" s="11">
        <f>AX$2-AX11</f>
        <v>0</v>
      </c>
      <c r="AZ11" s="13">
        <f>AW11+TIME(0,0,AY11)</f>
        <v>2.0023148148148148E-3</v>
      </c>
      <c r="BA11" s="11">
        <f>RANK(AZ11,AZ$8:AZ$33,1)</f>
        <v>1</v>
      </c>
      <c r="BB11" s="16">
        <f>VLOOKUP(BA11,'Место-баллы'!$A$3:$B$52,2,0)</f>
        <v>100</v>
      </c>
    </row>
    <row r="12" spans="2:54" x14ac:dyDescent="0.25">
      <c r="B12" s="16">
        <f>RANK(C12,C$8:C$33,0)</f>
        <v>5</v>
      </c>
      <c r="C12" s="16">
        <f>SUMIF($G$1:$BB$1,1,$G12:$BB12)</f>
        <v>495</v>
      </c>
      <c r="D12" s="14"/>
      <c r="E12" s="22" t="s">
        <v>78</v>
      </c>
      <c r="F12" s="14"/>
      <c r="G12" s="16">
        <f>80*3+85*12</f>
        <v>1260</v>
      </c>
      <c r="H12" s="16">
        <f>RANK(G12,G$8:G$33,0)</f>
        <v>9</v>
      </c>
      <c r="I12" s="16">
        <f>VLOOKUP(H12,'Место-баллы'!$A$3:$B$52,2,0)</f>
        <v>69</v>
      </c>
      <c r="J12" s="14"/>
      <c r="K12" s="11">
        <v>11</v>
      </c>
      <c r="L12" s="11">
        <v>44</v>
      </c>
      <c r="M12" s="13">
        <f>TIME(0,K12,L12)</f>
        <v>8.1481481481481474E-3</v>
      </c>
      <c r="N12" s="11">
        <v>150</v>
      </c>
      <c r="O12" s="11">
        <f>N$2-N12</f>
        <v>0</v>
      </c>
      <c r="P12" s="13">
        <f>M12+TIME(0,0,O12)</f>
        <v>8.1481481481481474E-3</v>
      </c>
      <c r="Q12" s="11">
        <f>RANK(P12,P$8:P$33,1)</f>
        <v>8</v>
      </c>
      <c r="R12" s="16">
        <f>VLOOKUP(Q12,'Место-баллы'!$A$3:$B$52,2,0)</f>
        <v>71</v>
      </c>
      <c r="S12" s="12"/>
      <c r="T12" s="11">
        <v>8</v>
      </c>
      <c r="U12" s="11">
        <v>10</v>
      </c>
      <c r="V12" s="13">
        <f>TIME(0,T12,U12)</f>
        <v>5.6712962962962958E-3</v>
      </c>
      <c r="W12" s="11">
        <v>48</v>
      </c>
      <c r="X12" s="11">
        <f>W$2-W12</f>
        <v>0</v>
      </c>
      <c r="Y12" s="13">
        <f>V12+TIME(0,0,X12)</f>
        <v>5.6712962962962958E-3</v>
      </c>
      <c r="Z12" s="11">
        <f>RANK(Y12,Y$8:Y$33,1)</f>
        <v>3</v>
      </c>
      <c r="AA12" s="16">
        <f>VLOOKUP(Z12,'Место-баллы'!$A$3:$B$52,2,0)</f>
        <v>90</v>
      </c>
      <c r="AB12" s="12"/>
      <c r="AC12" s="11">
        <v>4</v>
      </c>
      <c r="AD12" s="11">
        <v>55</v>
      </c>
      <c r="AE12" s="13">
        <f>TIME(0,AC12,AD12)</f>
        <v>3.414351851851852E-3</v>
      </c>
      <c r="AF12" s="11">
        <v>1150</v>
      </c>
      <c r="AG12" s="11">
        <f>AF$2-AF12</f>
        <v>0</v>
      </c>
      <c r="AH12" s="13">
        <f>AE12+TIME(0,0,AG12)</f>
        <v>3.414351851851852E-3</v>
      </c>
      <c r="AI12" s="11">
        <f>RANK(AH12,AH$8:AH$33,1)</f>
        <v>3</v>
      </c>
      <c r="AJ12" s="16">
        <f>VLOOKUP(AI12,'Место-баллы'!$A$3:$B$52,2,0)</f>
        <v>90</v>
      </c>
      <c r="AK12" s="12"/>
      <c r="AL12" s="11">
        <v>9</v>
      </c>
      <c r="AM12" s="11">
        <v>46</v>
      </c>
      <c r="AN12" s="13">
        <f>TIME(0,AL12,AM12)</f>
        <v>6.782407407407408E-3</v>
      </c>
      <c r="AO12" s="11">
        <v>210</v>
      </c>
      <c r="AP12" s="11">
        <f>AO$2-AO12</f>
        <v>0</v>
      </c>
      <c r="AQ12" s="13">
        <f>AN12+TIME(0,0,AP12)</f>
        <v>6.782407407407408E-3</v>
      </c>
      <c r="AR12" s="11">
        <f>RANK(AQ12,AQ$8:AQ$33,1)</f>
        <v>2</v>
      </c>
      <c r="AS12" s="16">
        <f>VLOOKUP(AR12,'Место-баллы'!$A$3:$B$52,2,0)</f>
        <v>95</v>
      </c>
      <c r="AT12" s="12"/>
      <c r="AU12" s="11">
        <v>3</v>
      </c>
      <c r="AV12" s="11">
        <v>38</v>
      </c>
      <c r="AW12" s="13">
        <f>TIME(0,AU12,AV12)</f>
        <v>2.5231481481481481E-3</v>
      </c>
      <c r="AX12" s="11">
        <v>90</v>
      </c>
      <c r="AY12" s="11">
        <f>AX$2-AX12</f>
        <v>0</v>
      </c>
      <c r="AZ12" s="13">
        <f>AW12+TIME(0,0,AY12)</f>
        <v>2.5231481481481481E-3</v>
      </c>
      <c r="BA12" s="11">
        <f>RANK(AZ12,AZ$8:AZ$33,1)</f>
        <v>5</v>
      </c>
      <c r="BB12" s="16">
        <f>VLOOKUP(BA12,'Место-баллы'!$A$3:$B$52,2,0)</f>
        <v>80</v>
      </c>
    </row>
    <row r="13" spans="2:54" x14ac:dyDescent="0.25">
      <c r="B13" s="16">
        <f>RANK(C13,C$8:C$33,0)</f>
        <v>6</v>
      </c>
      <c r="C13" s="16">
        <f>SUMIF($G$1:$BB$1,1,$G13:$BB13)</f>
        <v>474</v>
      </c>
      <c r="D13" s="14"/>
      <c r="E13" s="22" t="s">
        <v>89</v>
      </c>
      <c r="F13" s="14"/>
      <c r="G13" s="16">
        <f>96*15</f>
        <v>1440</v>
      </c>
      <c r="H13" s="16">
        <f>RANK(G13,G$8:G$33,0)</f>
        <v>1</v>
      </c>
      <c r="I13" s="16">
        <f>VLOOKUP(H13,'Место-баллы'!$A$3:$B$52,2,0)</f>
        <v>100</v>
      </c>
      <c r="J13" s="14"/>
      <c r="K13" s="11">
        <v>13</v>
      </c>
      <c r="L13" s="11">
        <v>34</v>
      </c>
      <c r="M13" s="13">
        <f>TIME(0,K13,L13)</f>
        <v>9.4212962962962957E-3</v>
      </c>
      <c r="N13" s="11">
        <v>150</v>
      </c>
      <c r="O13" s="11">
        <f>N$2-N13</f>
        <v>0</v>
      </c>
      <c r="P13" s="13">
        <f>M13+TIME(0,0,O13)</f>
        <v>9.4212962962962957E-3</v>
      </c>
      <c r="Q13" s="11">
        <f>RANK(P13,P$8:P$33,1)</f>
        <v>15</v>
      </c>
      <c r="R13" s="16">
        <f>VLOOKUP(Q13,'Место-баллы'!$A$3:$B$52,2,0)</f>
        <v>57</v>
      </c>
      <c r="S13" s="12"/>
      <c r="T13" s="11">
        <v>7</v>
      </c>
      <c r="U13" s="11">
        <v>55</v>
      </c>
      <c r="V13" s="13">
        <f>TIME(0,T13,U13)</f>
        <v>5.4976851851851853E-3</v>
      </c>
      <c r="W13" s="11">
        <v>48</v>
      </c>
      <c r="X13" s="11">
        <f>W$2-W13</f>
        <v>0</v>
      </c>
      <c r="Y13" s="13">
        <f>V13+TIME(0,0,X13)</f>
        <v>5.4976851851851853E-3</v>
      </c>
      <c r="Z13" s="11">
        <f>RANK(Y13,Y$8:Y$33,1)</f>
        <v>2</v>
      </c>
      <c r="AA13" s="16">
        <f>VLOOKUP(Z13,'Место-баллы'!$A$3:$B$52,2,0)</f>
        <v>95</v>
      </c>
      <c r="AB13" s="12"/>
      <c r="AC13" s="11">
        <v>5</v>
      </c>
      <c r="AD13" s="11">
        <v>9</v>
      </c>
      <c r="AE13" s="13">
        <f>TIME(0,AC13,AD13)</f>
        <v>3.5763888888888894E-3</v>
      </c>
      <c r="AF13" s="11">
        <v>1150</v>
      </c>
      <c r="AG13" s="11">
        <f>AF$2-AF13</f>
        <v>0</v>
      </c>
      <c r="AH13" s="13">
        <f>AE13+TIME(0,0,AG13)</f>
        <v>3.5763888888888894E-3</v>
      </c>
      <c r="AI13" s="11">
        <f>RANK(AH13,AH$8:AH$33,1)</f>
        <v>8</v>
      </c>
      <c r="AJ13" s="16">
        <f>VLOOKUP(AI13,'Место-баллы'!$A$3:$B$52,2,0)</f>
        <v>71</v>
      </c>
      <c r="AK13" s="12"/>
      <c r="AL13" s="11">
        <v>11</v>
      </c>
      <c r="AM13" s="11">
        <v>42</v>
      </c>
      <c r="AN13" s="13">
        <f>TIME(0,AL13,AM13)</f>
        <v>8.1249999999999985E-3</v>
      </c>
      <c r="AO13" s="11">
        <v>210</v>
      </c>
      <c r="AP13" s="11">
        <f>AO$2-AO13</f>
        <v>0</v>
      </c>
      <c r="AQ13" s="13">
        <f>AN13+TIME(0,0,AP13)</f>
        <v>8.1249999999999985E-3</v>
      </c>
      <c r="AR13" s="11">
        <f>RANK(AQ13,AQ$8:AQ$33,1)</f>
        <v>13</v>
      </c>
      <c r="AS13" s="16">
        <f>VLOOKUP(AR13,'Место-баллы'!$A$3:$B$52,2,0)</f>
        <v>61</v>
      </c>
      <c r="AT13" s="12"/>
      <c r="AU13" s="11">
        <v>3</v>
      </c>
      <c r="AV13" s="11">
        <v>12</v>
      </c>
      <c r="AW13" s="13">
        <f>TIME(0,AU13,AV13)</f>
        <v>2.2222222222222222E-3</v>
      </c>
      <c r="AX13" s="11">
        <v>90</v>
      </c>
      <c r="AY13" s="11">
        <f>AX$2-AX13</f>
        <v>0</v>
      </c>
      <c r="AZ13" s="13">
        <f>AW13+TIME(0,0,AY13)</f>
        <v>2.2222222222222222E-3</v>
      </c>
      <c r="BA13" s="11">
        <f>RANK(AZ13,AZ$8:AZ$33,1)</f>
        <v>3</v>
      </c>
      <c r="BB13" s="16">
        <f>VLOOKUP(BA13,'Место-баллы'!$A$3:$B$52,2,0)</f>
        <v>90</v>
      </c>
    </row>
    <row r="14" spans="2:54" x14ac:dyDescent="0.25">
      <c r="B14" s="16">
        <f>RANK(C14,C$8:C$33,0)</f>
        <v>7</v>
      </c>
      <c r="C14" s="16">
        <f>SUMIF($G$1:$BB$1,1,$G14:$BB14)</f>
        <v>433</v>
      </c>
      <c r="D14" s="14"/>
      <c r="E14" s="22" t="s">
        <v>90</v>
      </c>
      <c r="F14" s="14"/>
      <c r="G14" s="16">
        <f>90*15</f>
        <v>1350</v>
      </c>
      <c r="H14" s="16">
        <f>RANK(G14,G$8:G$33,0)</f>
        <v>3</v>
      </c>
      <c r="I14" s="16">
        <f>VLOOKUP(H14,'Место-баллы'!$A$3:$B$52,2,0)</f>
        <v>90</v>
      </c>
      <c r="J14" s="14"/>
      <c r="K14" s="11">
        <v>11</v>
      </c>
      <c r="L14" s="11">
        <v>27</v>
      </c>
      <c r="M14" s="13">
        <f>TIME(0,K14,L14)</f>
        <v>7.951388888888888E-3</v>
      </c>
      <c r="N14" s="11">
        <v>150</v>
      </c>
      <c r="O14" s="11">
        <f>N$2-N14</f>
        <v>0</v>
      </c>
      <c r="P14" s="13">
        <f>M14+TIME(0,0,O14)</f>
        <v>7.951388888888888E-3</v>
      </c>
      <c r="Q14" s="11">
        <f>RANK(P14,P$8:P$33,1)</f>
        <v>7</v>
      </c>
      <c r="R14" s="16">
        <f>VLOOKUP(Q14,'Место-баллы'!$A$3:$B$52,2,0)</f>
        <v>73</v>
      </c>
      <c r="S14" s="12"/>
      <c r="T14" s="11">
        <v>8</v>
      </c>
      <c r="U14" s="11">
        <v>54</v>
      </c>
      <c r="V14" s="13">
        <f>TIME(0,T14,U14)</f>
        <v>6.1805555555555563E-3</v>
      </c>
      <c r="W14" s="11">
        <v>48</v>
      </c>
      <c r="X14" s="11">
        <f>W$2-W14</f>
        <v>0</v>
      </c>
      <c r="Y14" s="13">
        <f>V14+TIME(0,0,X14)</f>
        <v>6.1805555555555563E-3</v>
      </c>
      <c r="Z14" s="11">
        <f>RANK(Y14,Y$8:Y$33,1)</f>
        <v>8</v>
      </c>
      <c r="AA14" s="16">
        <f>VLOOKUP(Z14,'Место-баллы'!$A$3:$B$52,2,0)</f>
        <v>71</v>
      </c>
      <c r="AB14" s="12"/>
      <c r="AC14" s="11">
        <v>5</v>
      </c>
      <c r="AD14" s="11">
        <v>25</v>
      </c>
      <c r="AE14" s="13">
        <f>TIME(0,AC14,AD14)</f>
        <v>3.7615740740740739E-3</v>
      </c>
      <c r="AF14" s="11">
        <v>1150</v>
      </c>
      <c r="AG14" s="11">
        <f>AF$2-AF14</f>
        <v>0</v>
      </c>
      <c r="AH14" s="13">
        <f>AE14+TIME(0,0,AG14)</f>
        <v>3.7615740740740739E-3</v>
      </c>
      <c r="AI14" s="11">
        <f>RANK(AH14,AH$8:AH$33,1)</f>
        <v>14</v>
      </c>
      <c r="AJ14" s="16">
        <f>VLOOKUP(AI14,'Место-баллы'!$A$3:$B$52,2,0)</f>
        <v>59</v>
      </c>
      <c r="AK14" s="12"/>
      <c r="AL14" s="11">
        <v>11</v>
      </c>
      <c r="AM14" s="11">
        <v>23</v>
      </c>
      <c r="AN14" s="13">
        <f>TIME(0,AL14,AM14)</f>
        <v>7.905092592592592E-3</v>
      </c>
      <c r="AO14" s="11">
        <v>210</v>
      </c>
      <c r="AP14" s="11">
        <f>AO$2-AO14</f>
        <v>0</v>
      </c>
      <c r="AQ14" s="13">
        <f>AN14+TIME(0,0,AP14)</f>
        <v>7.905092592592592E-3</v>
      </c>
      <c r="AR14" s="11">
        <f>RANK(AQ14,AQ$8:AQ$33,1)</f>
        <v>10</v>
      </c>
      <c r="AS14" s="16">
        <f>VLOOKUP(AR14,'Место-баллы'!$A$3:$B$52,2,0)</f>
        <v>67</v>
      </c>
      <c r="AT14" s="12"/>
      <c r="AU14" s="11">
        <v>4</v>
      </c>
      <c r="AV14" s="11">
        <v>29</v>
      </c>
      <c r="AW14" s="13">
        <f>TIME(0,AU14,AV14)</f>
        <v>3.1134259259259257E-3</v>
      </c>
      <c r="AX14" s="11">
        <v>90</v>
      </c>
      <c r="AY14" s="11">
        <f>AX$2-AX14</f>
        <v>0</v>
      </c>
      <c r="AZ14" s="13">
        <f>AW14+TIME(0,0,AY14)</f>
        <v>3.1134259259259257E-3</v>
      </c>
      <c r="BA14" s="11">
        <f>RANK(AZ14,AZ$8:AZ$33,1)</f>
        <v>7</v>
      </c>
      <c r="BB14" s="16">
        <f>VLOOKUP(BA14,'Место-баллы'!$A$3:$B$52,2,0)</f>
        <v>73</v>
      </c>
    </row>
    <row r="15" spans="2:54" x14ac:dyDescent="0.25">
      <c r="B15" s="16">
        <f>RANK(C15,C$8:C$33,0)</f>
        <v>8</v>
      </c>
      <c r="C15" s="16">
        <f>SUMIF($G$1:$BB$1,1,$G15:$BB15)</f>
        <v>432</v>
      </c>
      <c r="D15" s="14"/>
      <c r="E15" s="22" t="s">
        <v>80</v>
      </c>
      <c r="F15" s="14"/>
      <c r="G15" s="16">
        <f>71*15</f>
        <v>1065</v>
      </c>
      <c r="H15" s="16">
        <f>RANK(G15,G$8:G$33,0)</f>
        <v>14</v>
      </c>
      <c r="I15" s="16">
        <f>VLOOKUP(H15,'Место-баллы'!$A$3:$B$52,2,0)</f>
        <v>59</v>
      </c>
      <c r="J15" s="14"/>
      <c r="K15" s="11">
        <v>10</v>
      </c>
      <c r="L15" s="11">
        <v>33</v>
      </c>
      <c r="M15" s="13">
        <f>TIME(0,K15,L15)</f>
        <v>7.3263888888888892E-3</v>
      </c>
      <c r="N15" s="11">
        <v>150</v>
      </c>
      <c r="O15" s="11">
        <f>N$2-N15</f>
        <v>0</v>
      </c>
      <c r="P15" s="13">
        <f>M15+TIME(0,0,O15)</f>
        <v>7.3263888888888892E-3</v>
      </c>
      <c r="Q15" s="11">
        <f>RANK(P15,P$8:P$33,1)</f>
        <v>4</v>
      </c>
      <c r="R15" s="16">
        <f>VLOOKUP(Q15,'Место-баллы'!$A$3:$B$52,2,0)</f>
        <v>85</v>
      </c>
      <c r="S15" s="12"/>
      <c r="T15" s="11">
        <v>9</v>
      </c>
      <c r="U15" s="11">
        <v>0</v>
      </c>
      <c r="V15" s="13">
        <f>TIME(0,T15,U15)</f>
        <v>6.2499999999999995E-3</v>
      </c>
      <c r="W15" s="11">
        <v>48</v>
      </c>
      <c r="X15" s="11">
        <f>W$2-W15</f>
        <v>0</v>
      </c>
      <c r="Y15" s="13">
        <f>V15+TIME(0,0,X15)</f>
        <v>6.2499999999999995E-3</v>
      </c>
      <c r="Z15" s="11">
        <f>RANK(Y15,Y$8:Y$33,1)</f>
        <v>9</v>
      </c>
      <c r="AA15" s="16">
        <f>VLOOKUP(Z15,'Место-баллы'!$A$3:$B$52,2,0)</f>
        <v>69</v>
      </c>
      <c r="AB15" s="12"/>
      <c r="AC15" s="11">
        <v>5</v>
      </c>
      <c r="AD15" s="11">
        <v>4</v>
      </c>
      <c r="AE15" s="13">
        <f>TIME(0,AC15,AD15)</f>
        <v>3.5185185185185185E-3</v>
      </c>
      <c r="AF15" s="11">
        <v>1150</v>
      </c>
      <c r="AG15" s="11">
        <f>AF$2-AF15</f>
        <v>0</v>
      </c>
      <c r="AH15" s="13">
        <f>AE15+TIME(0,0,AG15)</f>
        <v>3.5185185185185185E-3</v>
      </c>
      <c r="AI15" s="11">
        <f>RANK(AH15,AH$8:AH$33,1)</f>
        <v>6</v>
      </c>
      <c r="AJ15" s="16">
        <f>VLOOKUP(AI15,'Место-баллы'!$A$3:$B$52,2,0)</f>
        <v>75</v>
      </c>
      <c r="AK15" s="12"/>
      <c r="AL15" s="11">
        <v>10</v>
      </c>
      <c r="AM15" s="11">
        <v>28</v>
      </c>
      <c r="AN15" s="13">
        <f>TIME(0,AL15,AM15)</f>
        <v>7.2685185185185188E-3</v>
      </c>
      <c r="AO15" s="11">
        <v>210</v>
      </c>
      <c r="AP15" s="11">
        <f>AO$2-AO15</f>
        <v>0</v>
      </c>
      <c r="AQ15" s="13">
        <f>AN15+TIME(0,0,AP15)</f>
        <v>7.2685185185185188E-3</v>
      </c>
      <c r="AR15" s="11">
        <f>RANK(AQ15,AQ$8:AQ$33,1)</f>
        <v>7</v>
      </c>
      <c r="AS15" s="16">
        <f>VLOOKUP(AR15,'Место-баллы'!$A$3:$B$52,2,0)</f>
        <v>73</v>
      </c>
      <c r="AT15" s="12"/>
      <c r="AU15" s="11">
        <v>4</v>
      </c>
      <c r="AV15" s="11">
        <v>30</v>
      </c>
      <c r="AW15" s="13">
        <f>TIME(0,AU15,AV15)</f>
        <v>3.1249999999999997E-3</v>
      </c>
      <c r="AX15" s="11">
        <v>90</v>
      </c>
      <c r="AY15" s="11">
        <f>AX$2-AX15</f>
        <v>0</v>
      </c>
      <c r="AZ15" s="13">
        <f>AW15+TIME(0,0,AY15)</f>
        <v>3.1249999999999997E-3</v>
      </c>
      <c r="BA15" s="11">
        <f>RANK(AZ15,AZ$8:AZ$33,1)</f>
        <v>8</v>
      </c>
      <c r="BB15" s="16">
        <f>VLOOKUP(BA15,'Место-баллы'!$A$3:$B$52,2,0)</f>
        <v>71</v>
      </c>
    </row>
    <row r="16" spans="2:54" x14ac:dyDescent="0.25">
      <c r="B16" s="16">
        <f>RANK(C16,C$8:C$33,0)</f>
        <v>9</v>
      </c>
      <c r="C16" s="16">
        <f>SUMIF($G$1:$BB$1,1,$G16:$BB16)</f>
        <v>389</v>
      </c>
      <c r="D16" s="14"/>
      <c r="E16" s="22" t="s">
        <v>84</v>
      </c>
      <c r="F16" s="14"/>
      <c r="G16" s="16">
        <f>90*15</f>
        <v>1350</v>
      </c>
      <c r="H16" s="16">
        <f>RANK(G16,G$8:G$33,0)</f>
        <v>3</v>
      </c>
      <c r="I16" s="16">
        <f>VLOOKUP(H16,'Место-баллы'!$A$3:$B$52,2,0)</f>
        <v>90</v>
      </c>
      <c r="J16" s="14"/>
      <c r="K16" s="11">
        <v>13</v>
      </c>
      <c r="L16" s="11">
        <v>7</v>
      </c>
      <c r="M16" s="13">
        <f>TIME(0,K16,L16)</f>
        <v>9.1087962962962971E-3</v>
      </c>
      <c r="N16" s="11">
        <v>150</v>
      </c>
      <c r="O16" s="11">
        <f>N$2-N16</f>
        <v>0</v>
      </c>
      <c r="P16" s="13">
        <f>M16+TIME(0,0,O16)</f>
        <v>9.1087962962962971E-3</v>
      </c>
      <c r="Q16" s="11">
        <f>RANK(P16,P$8:P$33,1)</f>
        <v>13</v>
      </c>
      <c r="R16" s="16">
        <f>VLOOKUP(Q16,'Место-баллы'!$A$3:$B$52,2,0)</f>
        <v>61</v>
      </c>
      <c r="S16" s="12"/>
      <c r="T16" s="11">
        <v>9</v>
      </c>
      <c r="U16" s="11">
        <v>5</v>
      </c>
      <c r="V16" s="13">
        <f>TIME(0,T16,U16)</f>
        <v>6.3078703703703708E-3</v>
      </c>
      <c r="W16" s="11">
        <v>37</v>
      </c>
      <c r="X16" s="11">
        <f>W$2-W16</f>
        <v>11</v>
      </c>
      <c r="Y16" s="13">
        <f>V16+TIME(0,0,X16)</f>
        <v>6.4351851851851853E-3</v>
      </c>
      <c r="Z16" s="11">
        <f>RANK(Y16,Y$8:Y$33,1)</f>
        <v>12</v>
      </c>
      <c r="AA16" s="16">
        <f>VLOOKUP(Z16,'Место-баллы'!$A$3:$B$52,2,0)</f>
        <v>63</v>
      </c>
      <c r="AB16" s="12"/>
      <c r="AC16" s="11">
        <v>4</v>
      </c>
      <c r="AD16" s="11">
        <v>51</v>
      </c>
      <c r="AE16" s="13">
        <f>TIME(0,AC16,AD16)</f>
        <v>3.3680555555555551E-3</v>
      </c>
      <c r="AF16" s="11">
        <v>1150</v>
      </c>
      <c r="AG16" s="11">
        <f>AF$2-AF16</f>
        <v>0</v>
      </c>
      <c r="AH16" s="13">
        <f>AE16+TIME(0,0,AG16)</f>
        <v>3.3680555555555551E-3</v>
      </c>
      <c r="AI16" s="11">
        <f>RANK(AH16,AH$8:AH$33,1)</f>
        <v>1</v>
      </c>
      <c r="AJ16" s="16">
        <f>VLOOKUP(AI16,'Место-баллы'!$A$3:$B$52,2,0)</f>
        <v>100</v>
      </c>
      <c r="AK16" s="12"/>
      <c r="AL16" s="11">
        <v>10</v>
      </c>
      <c r="AM16" s="11">
        <v>27</v>
      </c>
      <c r="AN16" s="13">
        <f>TIME(0,AL16,AM16)</f>
        <v>7.2569444444444443E-3</v>
      </c>
      <c r="AO16" s="11">
        <v>210</v>
      </c>
      <c r="AP16" s="11">
        <f>AO$2-AO16</f>
        <v>0</v>
      </c>
      <c r="AQ16" s="13">
        <f>AN16+TIME(0,0,AP16)</f>
        <v>7.2569444444444443E-3</v>
      </c>
      <c r="AR16" s="11">
        <f>RANK(AQ16,AQ$8:AQ$33,1)</f>
        <v>6</v>
      </c>
      <c r="AS16" s="16">
        <f>VLOOKUP(AR16,'Место-баллы'!$A$3:$B$52,2,0)</f>
        <v>75</v>
      </c>
      <c r="AT16" s="12"/>
      <c r="AU16" s="11">
        <v>6</v>
      </c>
      <c r="AV16" s="11">
        <v>5</v>
      </c>
      <c r="AW16" s="13">
        <f>TIME(0,AU16,AV16)</f>
        <v>4.2245370370370371E-3</v>
      </c>
      <c r="AX16" s="11">
        <v>0</v>
      </c>
      <c r="AY16" s="11">
        <f>AX$2-AX16</f>
        <v>90</v>
      </c>
      <c r="AZ16" s="13">
        <f>AW16+TIME(0,0,AY16)</f>
        <v>5.2662037037037035E-3</v>
      </c>
      <c r="BA16" s="11">
        <f>RANK(AZ16,AZ$8:AZ$33,1)</f>
        <v>24</v>
      </c>
      <c r="BB16" s="16">
        <v>0</v>
      </c>
    </row>
    <row r="17" spans="2:54" x14ac:dyDescent="0.25">
      <c r="B17" s="16">
        <f>RANK(C17,C$8:C$33,0)</f>
        <v>10</v>
      </c>
      <c r="C17" s="16">
        <f>SUMIF($G$1:$BB$1,1,$G17:$BB17)</f>
        <v>380</v>
      </c>
      <c r="D17" s="14"/>
      <c r="E17" s="22" t="s">
        <v>73</v>
      </c>
      <c r="F17" s="14"/>
      <c r="G17" s="16">
        <f>80*15</f>
        <v>1200</v>
      </c>
      <c r="H17" s="16">
        <f>RANK(G17,G$8:G$33,0)</f>
        <v>10</v>
      </c>
      <c r="I17" s="16">
        <f>VLOOKUP(H17,'Место-баллы'!$A$3:$B$52,2,0)</f>
        <v>67</v>
      </c>
      <c r="J17" s="14"/>
      <c r="K17" s="11">
        <v>11</v>
      </c>
      <c r="L17" s="11">
        <v>46</v>
      </c>
      <c r="M17" s="13">
        <f>TIME(0,K17,L17)</f>
        <v>8.1712962962962963E-3</v>
      </c>
      <c r="N17" s="11">
        <v>150</v>
      </c>
      <c r="O17" s="11">
        <f>N$2-N17</f>
        <v>0</v>
      </c>
      <c r="P17" s="13">
        <f>M17+TIME(0,0,O17)</f>
        <v>8.1712962962962963E-3</v>
      </c>
      <c r="Q17" s="11">
        <f>RANK(P17,P$8:P$33,1)</f>
        <v>9</v>
      </c>
      <c r="R17" s="16">
        <f>VLOOKUP(Q17,'Место-баллы'!$A$3:$B$52,2,0)</f>
        <v>69</v>
      </c>
      <c r="S17" s="12"/>
      <c r="T17" s="11">
        <v>9</v>
      </c>
      <c r="U17" s="11">
        <v>5</v>
      </c>
      <c r="V17" s="13">
        <f>TIME(0,T17,U17)</f>
        <v>6.3078703703703708E-3</v>
      </c>
      <c r="W17" s="11">
        <v>32</v>
      </c>
      <c r="X17" s="11">
        <f>W$2-W17</f>
        <v>16</v>
      </c>
      <c r="Y17" s="13">
        <f>V17+TIME(0,0,X17)</f>
        <v>6.4930555555555557E-3</v>
      </c>
      <c r="Z17" s="11">
        <f>RANK(Y17,Y$8:Y$33,1)</f>
        <v>16</v>
      </c>
      <c r="AA17" s="16">
        <f>VLOOKUP(Z17,'Место-баллы'!$A$3:$B$52,2,0)</f>
        <v>55</v>
      </c>
      <c r="AB17" s="12"/>
      <c r="AC17" s="11">
        <v>5</v>
      </c>
      <c r="AD17" s="11">
        <v>28</v>
      </c>
      <c r="AE17" s="13">
        <f>TIME(0,AC17,AD17)</f>
        <v>3.7962962962962963E-3</v>
      </c>
      <c r="AF17" s="11">
        <v>1150</v>
      </c>
      <c r="AG17" s="11">
        <f>AF$2-AF17</f>
        <v>0</v>
      </c>
      <c r="AH17" s="13">
        <f>AE17+TIME(0,0,AG17)</f>
        <v>3.7962962962962963E-3</v>
      </c>
      <c r="AI17" s="11">
        <f>RANK(AH17,AH$8:AH$33,1)</f>
        <v>15</v>
      </c>
      <c r="AJ17" s="16">
        <f>VLOOKUP(AI17,'Место-баллы'!$A$3:$B$52,2,0)</f>
        <v>57</v>
      </c>
      <c r="AK17" s="12"/>
      <c r="AL17" s="11">
        <v>11</v>
      </c>
      <c r="AM17" s="11">
        <v>28</v>
      </c>
      <c r="AN17" s="13">
        <f>TIME(0,AL17,AM17)</f>
        <v>7.9629629629629634E-3</v>
      </c>
      <c r="AO17" s="11">
        <v>210</v>
      </c>
      <c r="AP17" s="11">
        <f>AO$2-AO17</f>
        <v>0</v>
      </c>
      <c r="AQ17" s="13">
        <f>AN17+TIME(0,0,AP17)</f>
        <v>7.9629629629629634E-3</v>
      </c>
      <c r="AR17" s="11">
        <f>RANK(AQ17,AQ$8:AQ$33,1)</f>
        <v>11</v>
      </c>
      <c r="AS17" s="16">
        <f>VLOOKUP(AR17,'Место-баллы'!$A$3:$B$52,2,0)</f>
        <v>65</v>
      </c>
      <c r="AT17" s="12"/>
      <c r="AU17" s="11">
        <v>5</v>
      </c>
      <c r="AV17" s="11">
        <v>18</v>
      </c>
      <c r="AW17" s="13">
        <f>TIME(0,AU17,AV17)</f>
        <v>3.6805555555555554E-3</v>
      </c>
      <c r="AX17" s="11">
        <v>90</v>
      </c>
      <c r="AY17" s="11">
        <f>AX$2-AX17</f>
        <v>0</v>
      </c>
      <c r="AZ17" s="13">
        <f>AW17+TIME(0,0,AY17)</f>
        <v>3.6805555555555554E-3</v>
      </c>
      <c r="BA17" s="11">
        <f>RANK(AZ17,AZ$8:AZ$33,1)</f>
        <v>10</v>
      </c>
      <c r="BB17" s="16">
        <f>VLOOKUP(BA17,'Место-баллы'!$A$3:$B$52,2,0)</f>
        <v>67</v>
      </c>
    </row>
    <row r="18" spans="2:54" x14ac:dyDescent="0.25">
      <c r="B18" s="16">
        <v>11</v>
      </c>
      <c r="C18" s="16">
        <f>SUMIF($G$1:$BB$1,1,$G18:$BB18)</f>
        <v>380</v>
      </c>
      <c r="D18" s="14"/>
      <c r="E18" s="22" t="s">
        <v>82</v>
      </c>
      <c r="F18" s="14"/>
      <c r="G18" s="16">
        <f>80*15</f>
        <v>1200</v>
      </c>
      <c r="H18" s="16">
        <f>RANK(G18,G$8:G$33,0)</f>
        <v>10</v>
      </c>
      <c r="I18" s="16">
        <f>VLOOKUP(H18,'Место-баллы'!$A$3:$B$52,2,0)</f>
        <v>67</v>
      </c>
      <c r="J18" s="14"/>
      <c r="K18" s="11">
        <v>13</v>
      </c>
      <c r="L18" s="11">
        <v>9</v>
      </c>
      <c r="M18" s="13">
        <f>TIME(0,K18,L18)</f>
        <v>9.1319444444444443E-3</v>
      </c>
      <c r="N18" s="11">
        <v>150</v>
      </c>
      <c r="O18" s="11">
        <f>N$2-N18</f>
        <v>0</v>
      </c>
      <c r="P18" s="13">
        <f>M18+TIME(0,0,O18)</f>
        <v>9.1319444444444443E-3</v>
      </c>
      <c r="Q18" s="11">
        <f>RANK(P18,P$8:P$33,1)</f>
        <v>14</v>
      </c>
      <c r="R18" s="16">
        <f>VLOOKUP(Q18,'Место-баллы'!$A$3:$B$52,2,0)</f>
        <v>59</v>
      </c>
      <c r="S18" s="12"/>
      <c r="T18" s="11">
        <v>9</v>
      </c>
      <c r="U18" s="11">
        <v>5</v>
      </c>
      <c r="V18" s="13">
        <f>TIME(0,T18,U18)</f>
        <v>6.3078703703703708E-3</v>
      </c>
      <c r="W18" s="11">
        <v>36</v>
      </c>
      <c r="X18" s="11">
        <f>W$2-W18</f>
        <v>12</v>
      </c>
      <c r="Y18" s="13">
        <f>V18+TIME(0,0,X18)</f>
        <v>6.4467592592592597E-3</v>
      </c>
      <c r="Z18" s="11">
        <f>RANK(Y18,Y$8:Y$33,1)</f>
        <v>13</v>
      </c>
      <c r="AA18" s="16">
        <f>VLOOKUP(Z18,'Место-баллы'!$A$3:$B$52,2,0)</f>
        <v>61</v>
      </c>
      <c r="AB18" s="12"/>
      <c r="AC18" s="11">
        <v>5</v>
      </c>
      <c r="AD18" s="11">
        <v>16</v>
      </c>
      <c r="AE18" s="13">
        <f>TIME(0,AC18,AD18)</f>
        <v>3.6574074074074074E-3</v>
      </c>
      <c r="AF18" s="11">
        <v>1150</v>
      </c>
      <c r="AG18" s="11">
        <f>AF$2-AF18</f>
        <v>0</v>
      </c>
      <c r="AH18" s="13">
        <f>AE18+TIME(0,0,AG18)</f>
        <v>3.6574074074074074E-3</v>
      </c>
      <c r="AI18" s="11">
        <f>RANK(AH18,AH$8:AH$33,1)</f>
        <v>11</v>
      </c>
      <c r="AJ18" s="16">
        <f>VLOOKUP(AI18,'Место-баллы'!$A$3:$B$52,2,0)</f>
        <v>65</v>
      </c>
      <c r="AK18" s="12"/>
      <c r="AL18" s="11">
        <v>11</v>
      </c>
      <c r="AM18" s="11">
        <v>33</v>
      </c>
      <c r="AN18" s="13">
        <f>TIME(0,AL18,AM18)</f>
        <v>8.0208333333333329E-3</v>
      </c>
      <c r="AO18" s="11">
        <v>210</v>
      </c>
      <c r="AP18" s="11">
        <f>AO$2-AO18</f>
        <v>0</v>
      </c>
      <c r="AQ18" s="13">
        <f>AN18+TIME(0,0,AP18)</f>
        <v>8.0208333333333329E-3</v>
      </c>
      <c r="AR18" s="11">
        <f>RANK(AQ18,AQ$8:AQ$33,1)</f>
        <v>12</v>
      </c>
      <c r="AS18" s="16">
        <f>VLOOKUP(AR18,'Место-баллы'!$A$3:$B$52,2,0)</f>
        <v>63</v>
      </c>
      <c r="AT18" s="12"/>
      <c r="AU18" s="11">
        <v>5</v>
      </c>
      <c r="AV18" s="11">
        <v>27</v>
      </c>
      <c r="AW18" s="13">
        <f>TIME(0,AU18,AV18)</f>
        <v>3.7847222222222223E-3</v>
      </c>
      <c r="AX18" s="11">
        <v>90</v>
      </c>
      <c r="AY18" s="11">
        <f>AX$2-AX18</f>
        <v>0</v>
      </c>
      <c r="AZ18" s="13">
        <f>AW18+TIME(0,0,AY18)</f>
        <v>3.7847222222222223E-3</v>
      </c>
      <c r="BA18" s="11">
        <f>RANK(AZ18,AZ$8:AZ$33,1)</f>
        <v>11</v>
      </c>
      <c r="BB18" s="16">
        <f>VLOOKUP(BA18,'Место-баллы'!$A$3:$B$52,2,0)</f>
        <v>65</v>
      </c>
    </row>
    <row r="19" spans="2:54" x14ac:dyDescent="0.25">
      <c r="B19" s="16">
        <f>RANK(C19,C$8:C$33,0)</f>
        <v>12</v>
      </c>
      <c r="C19" s="16">
        <f>SUMIF($G$1:$BB$1,1,$G19:$BB19)</f>
        <v>367</v>
      </c>
      <c r="D19" s="14"/>
      <c r="E19" s="22" t="s">
        <v>71</v>
      </c>
      <c r="F19" s="14"/>
      <c r="G19" s="16">
        <f>40*15</f>
        <v>600</v>
      </c>
      <c r="H19" s="16">
        <f>RANK(G19,G$8:G$33,0)</f>
        <v>24</v>
      </c>
      <c r="I19" s="16">
        <f>VLOOKUP(H19,'Место-баллы'!$A$3:$B$52,2,0)</f>
        <v>39</v>
      </c>
      <c r="J19" s="14"/>
      <c r="K19" s="11">
        <v>9</v>
      </c>
      <c r="L19" s="11">
        <v>36</v>
      </c>
      <c r="M19" s="13">
        <f>TIME(0,K19,L19)</f>
        <v>6.6666666666666671E-3</v>
      </c>
      <c r="N19" s="11">
        <v>150</v>
      </c>
      <c r="O19" s="11">
        <f>N$2-N19</f>
        <v>0</v>
      </c>
      <c r="P19" s="13">
        <f>M19+TIME(0,0,O19)</f>
        <v>6.6666666666666671E-3</v>
      </c>
      <c r="Q19" s="11">
        <f>RANK(P19,P$8:P$33,1)</f>
        <v>1</v>
      </c>
      <c r="R19" s="16">
        <f>VLOOKUP(Q19,'Место-баллы'!$A$3:$B$52,2,0)</f>
        <v>100</v>
      </c>
      <c r="S19" s="12"/>
      <c r="T19" s="11">
        <v>9</v>
      </c>
      <c r="U19" s="11">
        <v>5</v>
      </c>
      <c r="V19" s="13">
        <f>TIME(0,T19,U19)</f>
        <v>6.3078703703703708E-3</v>
      </c>
      <c r="W19" s="11">
        <v>35</v>
      </c>
      <c r="X19" s="11">
        <f>W$2-W19</f>
        <v>13</v>
      </c>
      <c r="Y19" s="13">
        <f>V19+TIME(0,0,X19)</f>
        <v>6.4583333333333342E-3</v>
      </c>
      <c r="Z19" s="11">
        <f>RANK(Y19,Y$8:Y$33,1)</f>
        <v>14</v>
      </c>
      <c r="AA19" s="16">
        <f>VLOOKUP(Z19,'Место-баллы'!$A$3:$B$52,2,0)</f>
        <v>59</v>
      </c>
      <c r="AB19" s="12"/>
      <c r="AC19" s="11">
        <v>5</v>
      </c>
      <c r="AD19" s="11">
        <v>29</v>
      </c>
      <c r="AE19" s="13">
        <f>TIME(0,AC19,AD19)</f>
        <v>3.8078703703703707E-3</v>
      </c>
      <c r="AF19" s="11">
        <v>1150</v>
      </c>
      <c r="AG19" s="11">
        <f>AF$2-AF19</f>
        <v>0</v>
      </c>
      <c r="AH19" s="13">
        <f>AE19+TIME(0,0,AG19)</f>
        <v>3.8078703703703707E-3</v>
      </c>
      <c r="AI19" s="11">
        <f>RANK(AH19,AH$8:AH$33,1)</f>
        <v>16</v>
      </c>
      <c r="AJ19" s="16">
        <f>VLOOKUP(AI19,'Место-баллы'!$A$3:$B$52,2,0)</f>
        <v>55</v>
      </c>
      <c r="AK19" s="12"/>
      <c r="AL19" s="11">
        <v>11</v>
      </c>
      <c r="AM19" s="11">
        <v>56</v>
      </c>
      <c r="AN19" s="13">
        <f>TIME(0,AL19,AM19)</f>
        <v>8.2870370370370372E-3</v>
      </c>
      <c r="AO19" s="11">
        <v>210</v>
      </c>
      <c r="AP19" s="11">
        <f>AO$2-AO19</f>
        <v>0</v>
      </c>
      <c r="AQ19" s="13">
        <f>AN19+TIME(0,0,AP19)</f>
        <v>8.2870370370370372E-3</v>
      </c>
      <c r="AR19" s="11">
        <f>RANK(AQ19,AQ$8:AQ$33,1)</f>
        <v>15</v>
      </c>
      <c r="AS19" s="16">
        <f>VLOOKUP(AR19,'Место-баллы'!$A$3:$B$52,2,0)</f>
        <v>57</v>
      </c>
      <c r="AT19" s="12"/>
      <c r="AU19" s="11">
        <v>6</v>
      </c>
      <c r="AV19" s="11">
        <v>5</v>
      </c>
      <c r="AW19" s="13">
        <f>TIME(0,AU19,AV19)</f>
        <v>4.2245370370370371E-3</v>
      </c>
      <c r="AX19" s="11">
        <v>85</v>
      </c>
      <c r="AY19" s="11">
        <f>AX$2-AX19</f>
        <v>5</v>
      </c>
      <c r="AZ19" s="13">
        <f>AW19+TIME(0,0,AY19)</f>
        <v>4.2824074074074075E-3</v>
      </c>
      <c r="BA19" s="11">
        <f>RANK(AZ19,AZ$8:AZ$33,1)</f>
        <v>15</v>
      </c>
      <c r="BB19" s="16">
        <f>VLOOKUP(BA19,'Место-баллы'!$A$3:$B$52,2,0)</f>
        <v>57</v>
      </c>
    </row>
    <row r="20" spans="2:54" x14ac:dyDescent="0.25">
      <c r="B20" s="16">
        <f>RANK(C20,C$8:C$33,0)</f>
        <v>13</v>
      </c>
      <c r="C20" s="16">
        <f>SUMIF($G$1:$BB$1,1,$G20:$BB20)</f>
        <v>364</v>
      </c>
      <c r="D20" s="14"/>
      <c r="E20" s="22" t="s">
        <v>68</v>
      </c>
      <c r="F20" s="14"/>
      <c r="G20" s="16">
        <f>75*15</f>
        <v>1125</v>
      </c>
      <c r="H20" s="16">
        <f>RANK(G20,G$8:G$33,0)</f>
        <v>13</v>
      </c>
      <c r="I20" s="16">
        <f>VLOOKUP(H20,'Место-баллы'!$A$3:$B$52,2,0)</f>
        <v>61</v>
      </c>
      <c r="J20" s="14"/>
      <c r="K20" s="11">
        <v>13</v>
      </c>
      <c r="L20" s="11">
        <v>56</v>
      </c>
      <c r="M20" s="13">
        <f>TIME(0,K20,L20)</f>
        <v>9.6759259259259264E-3</v>
      </c>
      <c r="N20" s="11">
        <v>150</v>
      </c>
      <c r="O20" s="11">
        <f>N$2-N20</f>
        <v>0</v>
      </c>
      <c r="P20" s="13">
        <f>M20+TIME(0,0,O20)</f>
        <v>9.6759259259259264E-3</v>
      </c>
      <c r="Q20" s="11">
        <f>RANK(P20,P$8:P$33,1)</f>
        <v>18</v>
      </c>
      <c r="R20" s="16">
        <f>VLOOKUP(Q20,'Место-баллы'!$A$3:$B$52,2,0)</f>
        <v>51</v>
      </c>
      <c r="S20" s="12"/>
      <c r="T20" s="11">
        <v>9</v>
      </c>
      <c r="U20" s="11">
        <v>5</v>
      </c>
      <c r="V20" s="13">
        <f>TIME(0,T20,U20)</f>
        <v>6.3078703703703708E-3</v>
      </c>
      <c r="W20" s="11">
        <v>42</v>
      </c>
      <c r="X20" s="11">
        <f>W$2-W20</f>
        <v>6</v>
      </c>
      <c r="Y20" s="13">
        <f>V20+TIME(0,0,X20)</f>
        <v>6.3773148148148148E-3</v>
      </c>
      <c r="Z20" s="11">
        <f>RANK(Y20,Y$8:Y$33,1)</f>
        <v>10</v>
      </c>
      <c r="AA20" s="16">
        <f>VLOOKUP(Z20,'Место-баллы'!$A$3:$B$52,2,0)</f>
        <v>67</v>
      </c>
      <c r="AB20" s="12"/>
      <c r="AC20" s="11">
        <v>5</v>
      </c>
      <c r="AD20" s="11">
        <v>19</v>
      </c>
      <c r="AE20" s="13">
        <f>TIME(0,AC20,AD20)</f>
        <v>3.6921296296296298E-3</v>
      </c>
      <c r="AF20" s="11">
        <v>1150</v>
      </c>
      <c r="AG20" s="11">
        <f>AF$2-AF20</f>
        <v>0</v>
      </c>
      <c r="AH20" s="13">
        <f>AE20+TIME(0,0,AG20)</f>
        <v>3.6921296296296298E-3</v>
      </c>
      <c r="AI20" s="11">
        <f>RANK(AH20,AH$8:AH$33,1)</f>
        <v>12</v>
      </c>
      <c r="AJ20" s="16">
        <f>VLOOKUP(AI20,'Место-баллы'!$A$3:$B$52,2,0)</f>
        <v>63</v>
      </c>
      <c r="AK20" s="12"/>
      <c r="AL20" s="11">
        <v>10</v>
      </c>
      <c r="AM20" s="11">
        <v>58</v>
      </c>
      <c r="AN20" s="13">
        <f>TIME(0,AL20,AM20)</f>
        <v>7.6157407407407415E-3</v>
      </c>
      <c r="AO20" s="11">
        <v>210</v>
      </c>
      <c r="AP20" s="11">
        <f>AO$2-AO20</f>
        <v>0</v>
      </c>
      <c r="AQ20" s="13">
        <f>AN20+TIME(0,0,AP20)</f>
        <v>7.6157407407407415E-3</v>
      </c>
      <c r="AR20" s="11">
        <f>RANK(AQ20,AQ$8:AQ$33,1)</f>
        <v>9</v>
      </c>
      <c r="AS20" s="16">
        <f>VLOOKUP(AR20,'Место-баллы'!$A$3:$B$52,2,0)</f>
        <v>69</v>
      </c>
      <c r="AT20" s="12"/>
      <c r="AU20" s="11">
        <v>6</v>
      </c>
      <c r="AV20" s="11">
        <v>5</v>
      </c>
      <c r="AW20" s="13">
        <f>TIME(0,AU20,AV20)</f>
        <v>4.2245370370370371E-3</v>
      </c>
      <c r="AX20" s="11">
        <v>81</v>
      </c>
      <c r="AY20" s="11">
        <f>AX$2-AX20</f>
        <v>9</v>
      </c>
      <c r="AZ20" s="13">
        <f>AW20+TIME(0,0,AY20)</f>
        <v>4.3287037037037035E-3</v>
      </c>
      <c r="BA20" s="11">
        <f>RANK(AZ20,AZ$8:AZ$33,1)</f>
        <v>17</v>
      </c>
      <c r="BB20" s="16">
        <f>VLOOKUP(BA20,'Место-баллы'!$A$3:$B$52,2,0)</f>
        <v>53</v>
      </c>
    </row>
    <row r="21" spans="2:54" x14ac:dyDescent="0.25">
      <c r="B21" s="16">
        <f>RANK(C21,C$8:C$33,0)</f>
        <v>14</v>
      </c>
      <c r="C21" s="16">
        <f>SUMIF($G$1:$BB$1,1,$G21:$BB21)</f>
        <v>346</v>
      </c>
      <c r="D21" s="14"/>
      <c r="E21" s="22" t="s">
        <v>88</v>
      </c>
      <c r="F21" s="14"/>
      <c r="G21" s="16">
        <f>100*12</f>
        <v>1200</v>
      </c>
      <c r="H21" s="16">
        <f>RANK(G21,G$8:G$33,0)</f>
        <v>10</v>
      </c>
      <c r="I21" s="16">
        <f>VLOOKUP(H21,'Место-баллы'!$A$3:$B$52,2,0)</f>
        <v>67</v>
      </c>
      <c r="J21" s="14"/>
      <c r="K21" s="11">
        <v>15</v>
      </c>
      <c r="L21" s="11">
        <v>5</v>
      </c>
      <c r="M21" s="13">
        <f>TIME(0,K21,L21)</f>
        <v>1.0474537037037037E-2</v>
      </c>
      <c r="N21" s="11">
        <v>150</v>
      </c>
      <c r="O21" s="11">
        <f>N$2-N21</f>
        <v>0</v>
      </c>
      <c r="P21" s="13">
        <f>M21+TIME(0,0,O21)</f>
        <v>1.0474537037037037E-2</v>
      </c>
      <c r="Q21" s="11">
        <f>RANK(P21,P$8:P$33,1)</f>
        <v>21</v>
      </c>
      <c r="R21" s="16">
        <f>VLOOKUP(Q21,'Место-баллы'!$A$3:$B$52,2,0)</f>
        <v>45</v>
      </c>
      <c r="S21" s="12"/>
      <c r="T21" s="11">
        <v>8</v>
      </c>
      <c r="U21" s="11">
        <v>40</v>
      </c>
      <c r="V21" s="13">
        <f>TIME(0,T21,U21)</f>
        <v>6.0185185185185177E-3</v>
      </c>
      <c r="W21" s="11">
        <v>48</v>
      </c>
      <c r="X21" s="11">
        <f>W$2-W21</f>
        <v>0</v>
      </c>
      <c r="Y21" s="13">
        <f>V21+TIME(0,0,X21)</f>
        <v>6.0185185185185177E-3</v>
      </c>
      <c r="Z21" s="11">
        <f>RANK(Y21,Y$8:Y$33,1)</f>
        <v>5</v>
      </c>
      <c r="AA21" s="16">
        <f>VLOOKUP(Z21,'Место-баллы'!$A$3:$B$52,2,0)</f>
        <v>80</v>
      </c>
      <c r="AB21" s="12"/>
      <c r="AC21" s="11">
        <v>5</v>
      </c>
      <c r="AD21" s="11">
        <v>14</v>
      </c>
      <c r="AE21" s="13">
        <f>TIME(0,AC21,AD21)</f>
        <v>3.6342592592592594E-3</v>
      </c>
      <c r="AF21" s="11">
        <v>1150</v>
      </c>
      <c r="AG21" s="11">
        <f>AF$2-AF21</f>
        <v>0</v>
      </c>
      <c r="AH21" s="13">
        <f>AE21+TIME(0,0,AG21)</f>
        <v>3.6342592592592594E-3</v>
      </c>
      <c r="AI21" s="11">
        <f>RANK(AH21,AH$8:AH$33,1)</f>
        <v>9</v>
      </c>
      <c r="AJ21" s="16">
        <f>VLOOKUP(AI21,'Место-баллы'!$A$3:$B$52,2,0)</f>
        <v>69</v>
      </c>
      <c r="AK21" s="12"/>
      <c r="AL21" s="11">
        <v>10</v>
      </c>
      <c r="AM21" s="11">
        <v>14</v>
      </c>
      <c r="AN21" s="13">
        <f>TIME(0,AL21,AM21)</f>
        <v>7.106481481481481E-3</v>
      </c>
      <c r="AO21" s="11">
        <v>210</v>
      </c>
      <c r="AP21" s="11">
        <f>AO$2-AO21</f>
        <v>0</v>
      </c>
      <c r="AQ21" s="13">
        <f>AN21+TIME(0,0,AP21)</f>
        <v>7.106481481481481E-3</v>
      </c>
      <c r="AR21" s="11">
        <f>RANK(AQ21,AQ$8:AQ$33,1)</f>
        <v>4</v>
      </c>
      <c r="AS21" s="16">
        <f>VLOOKUP(AR21,'Место-баллы'!$A$3:$B$52,2,0)</f>
        <v>85</v>
      </c>
      <c r="AT21" s="12"/>
      <c r="AU21" s="11">
        <v>6</v>
      </c>
      <c r="AV21" s="11">
        <v>5</v>
      </c>
      <c r="AW21" s="13">
        <f>TIME(0,AU21,AV21)</f>
        <v>4.2245370370370371E-3</v>
      </c>
      <c r="AX21" s="11">
        <v>0</v>
      </c>
      <c r="AY21" s="11">
        <f>AX$2-AX21</f>
        <v>90</v>
      </c>
      <c r="AZ21" s="13">
        <f>AW21+TIME(0,0,AY21)</f>
        <v>5.2662037037037035E-3</v>
      </c>
      <c r="BA21" s="11">
        <f>RANK(AZ21,AZ$8:AZ$33,1)</f>
        <v>24</v>
      </c>
      <c r="BB21" s="16">
        <v>0</v>
      </c>
    </row>
    <row r="22" spans="2:54" x14ac:dyDescent="0.25">
      <c r="B22" s="16">
        <f>RANK(C22,C$8:C$33,0)</f>
        <v>15</v>
      </c>
      <c r="C22" s="16">
        <f>SUMIF($G$1:$BB$1,1,$G22:$BB22)</f>
        <v>340</v>
      </c>
      <c r="D22" s="14"/>
      <c r="E22" s="22" t="s">
        <v>79</v>
      </c>
      <c r="F22" s="14"/>
      <c r="G22" s="16">
        <f>85*15</f>
        <v>1275</v>
      </c>
      <c r="H22" s="16">
        <f>RANK(G22,G$8:G$33,0)</f>
        <v>8</v>
      </c>
      <c r="I22" s="16">
        <f>VLOOKUP(H22,'Место-баллы'!$A$3:$B$52,2,0)</f>
        <v>71</v>
      </c>
      <c r="J22" s="14"/>
      <c r="K22" s="11">
        <v>13</v>
      </c>
      <c r="L22" s="11">
        <v>55</v>
      </c>
      <c r="M22" s="13">
        <f>TIME(0,K22,L22)</f>
        <v>9.6643518518518511E-3</v>
      </c>
      <c r="N22" s="11">
        <v>150</v>
      </c>
      <c r="O22" s="11">
        <f>N$2-N22</f>
        <v>0</v>
      </c>
      <c r="P22" s="13">
        <f>M22+TIME(0,0,O22)</f>
        <v>9.6643518518518511E-3</v>
      </c>
      <c r="Q22" s="11">
        <f>RANK(P22,P$8:P$33,1)</f>
        <v>17</v>
      </c>
      <c r="R22" s="16">
        <f>VLOOKUP(Q22,'Место-баллы'!$A$3:$B$52,2,0)</f>
        <v>53</v>
      </c>
      <c r="S22" s="12"/>
      <c r="T22" s="11">
        <v>9</v>
      </c>
      <c r="U22" s="11">
        <v>5</v>
      </c>
      <c r="V22" s="13">
        <f>TIME(0,T22,U22)</f>
        <v>6.3078703703703708E-3</v>
      </c>
      <c r="W22" s="11">
        <v>30</v>
      </c>
      <c r="X22" s="11">
        <f>W$2-W22</f>
        <v>18</v>
      </c>
      <c r="Y22" s="13">
        <f>V22+TIME(0,0,X22)</f>
        <v>6.5162037037037037E-3</v>
      </c>
      <c r="Z22" s="11">
        <f>RANK(Y22,Y$8:Y$33,1)</f>
        <v>18</v>
      </c>
      <c r="AA22" s="16">
        <f>VLOOKUP(Z22,'Место-баллы'!$A$3:$B$52,2,0)</f>
        <v>51</v>
      </c>
      <c r="AB22" s="12"/>
      <c r="AC22" s="11">
        <v>5</v>
      </c>
      <c r="AD22" s="11">
        <v>51</v>
      </c>
      <c r="AE22" s="13">
        <f>TIME(0,AC22,AD22)</f>
        <v>4.0624999999999993E-3</v>
      </c>
      <c r="AF22" s="11">
        <v>1150</v>
      </c>
      <c r="AG22" s="11">
        <f>AF$2-AF22</f>
        <v>0</v>
      </c>
      <c r="AH22" s="13">
        <f>AE22+TIME(0,0,AG22)</f>
        <v>4.0624999999999993E-3</v>
      </c>
      <c r="AI22" s="11">
        <f>RANK(AH22,AH$8:AH$33,1)</f>
        <v>20</v>
      </c>
      <c r="AJ22" s="16">
        <f>VLOOKUP(AI22,'Место-баллы'!$A$3:$B$52,2,0)</f>
        <v>47</v>
      </c>
      <c r="AK22" s="12"/>
      <c r="AL22" s="11">
        <v>12</v>
      </c>
      <c r="AM22" s="11">
        <v>5</v>
      </c>
      <c r="AN22" s="13">
        <f>TIME(0,AL22,AM22)</f>
        <v>8.3912037037037045E-3</v>
      </c>
      <c r="AO22" s="11">
        <v>183</v>
      </c>
      <c r="AP22" s="11">
        <f>AO$2-AO22</f>
        <v>27</v>
      </c>
      <c r="AQ22" s="13">
        <f>AN22+TIME(0,0,AP22)</f>
        <v>8.7037037037037048E-3</v>
      </c>
      <c r="AR22" s="11">
        <f>RANK(AQ22,AQ$8:AQ$33,1)</f>
        <v>19</v>
      </c>
      <c r="AS22" s="16">
        <f>VLOOKUP(AR22,'Место-баллы'!$A$3:$B$52,2,0)</f>
        <v>49</v>
      </c>
      <c r="AT22" s="12"/>
      <c r="AU22" s="11">
        <v>5</v>
      </c>
      <c r="AV22" s="11">
        <v>6</v>
      </c>
      <c r="AW22" s="13">
        <f>TIME(0,AU22,AV22)</f>
        <v>3.5416666666666665E-3</v>
      </c>
      <c r="AX22" s="11">
        <v>90</v>
      </c>
      <c r="AY22" s="11">
        <f>AX$2-AX22</f>
        <v>0</v>
      </c>
      <c r="AZ22" s="13">
        <f>AW22+TIME(0,0,AY22)</f>
        <v>3.5416666666666665E-3</v>
      </c>
      <c r="BA22" s="11">
        <f>RANK(AZ22,AZ$8:AZ$33,1)</f>
        <v>9</v>
      </c>
      <c r="BB22" s="16">
        <f>VLOOKUP(BA22,'Место-баллы'!$A$3:$B$52,2,0)</f>
        <v>69</v>
      </c>
    </row>
    <row r="23" spans="2:54" x14ac:dyDescent="0.25">
      <c r="B23" s="16">
        <f>RANK(C23,C$8:C$33,0)</f>
        <v>16</v>
      </c>
      <c r="C23" s="16">
        <f>SUMIF($G$1:$BB$1,1,$G23:$BB23)</f>
        <v>332</v>
      </c>
      <c r="D23" s="14"/>
      <c r="E23" s="22" t="s">
        <v>74</v>
      </c>
      <c r="F23" s="14"/>
      <c r="G23" s="16">
        <f>50*15</f>
        <v>750</v>
      </c>
      <c r="H23" s="16">
        <f>RANK(G23,G$8:G$33,0)</f>
        <v>21</v>
      </c>
      <c r="I23" s="16">
        <f>VLOOKUP(H23,'Место-баллы'!$A$3:$B$52,2,0)</f>
        <v>45</v>
      </c>
      <c r="J23" s="14"/>
      <c r="K23" s="11">
        <v>12</v>
      </c>
      <c r="L23" s="11">
        <v>1</v>
      </c>
      <c r="M23" s="13">
        <f>TIME(0,K23,L23)</f>
        <v>8.3449074074074085E-3</v>
      </c>
      <c r="N23" s="11">
        <v>150</v>
      </c>
      <c r="O23" s="11">
        <f>N$2-N23</f>
        <v>0</v>
      </c>
      <c r="P23" s="13">
        <f>M23+TIME(0,0,O23)</f>
        <v>8.3449074074074085E-3</v>
      </c>
      <c r="Q23" s="11">
        <f>RANK(P23,P$8:P$33,1)</f>
        <v>10</v>
      </c>
      <c r="R23" s="16">
        <f>VLOOKUP(Q23,'Место-баллы'!$A$3:$B$52,2,0)</f>
        <v>67</v>
      </c>
      <c r="S23" s="12"/>
      <c r="T23" s="11">
        <v>9</v>
      </c>
      <c r="U23" s="11">
        <v>5</v>
      </c>
      <c r="V23" s="13">
        <f>TIME(0,T23,U23)</f>
        <v>6.3078703703703708E-3</v>
      </c>
      <c r="W23" s="11">
        <v>29</v>
      </c>
      <c r="X23" s="11">
        <f>W$2-W23</f>
        <v>19</v>
      </c>
      <c r="Y23" s="13">
        <f>V23+TIME(0,0,X23)</f>
        <v>6.5277777777777782E-3</v>
      </c>
      <c r="Z23" s="11">
        <f>RANK(Y23,Y$8:Y$33,1)</f>
        <v>19</v>
      </c>
      <c r="AA23" s="16">
        <f>VLOOKUP(Z23,'Место-баллы'!$A$3:$B$52,2,0)</f>
        <v>49</v>
      </c>
      <c r="AB23" s="12"/>
      <c r="AC23" s="11">
        <v>5</v>
      </c>
      <c r="AD23" s="11">
        <v>21</v>
      </c>
      <c r="AE23" s="13">
        <f>TIME(0,AC23,AD23)</f>
        <v>3.7152777777777774E-3</v>
      </c>
      <c r="AF23" s="11">
        <v>1150</v>
      </c>
      <c r="AG23" s="11">
        <f>AF$2-AF23</f>
        <v>0</v>
      </c>
      <c r="AH23" s="13">
        <f>AE23+TIME(0,0,AG23)</f>
        <v>3.7152777777777774E-3</v>
      </c>
      <c r="AI23" s="11">
        <f>RANK(AH23,AH$8:AH$33,1)</f>
        <v>13</v>
      </c>
      <c r="AJ23" s="16">
        <f>VLOOKUP(AI23,'Место-баллы'!$A$3:$B$52,2,0)</f>
        <v>61</v>
      </c>
      <c r="AK23" s="12"/>
      <c r="AL23" s="11">
        <v>12</v>
      </c>
      <c r="AM23" s="11">
        <v>5</v>
      </c>
      <c r="AN23" s="13">
        <f>TIME(0,AL23,AM23)</f>
        <v>8.3912037037037045E-3</v>
      </c>
      <c r="AO23" s="11">
        <v>193</v>
      </c>
      <c r="AP23" s="11">
        <f>AO$2-AO23</f>
        <v>17</v>
      </c>
      <c r="AQ23" s="13">
        <f>AN23+TIME(0,0,AP23)</f>
        <v>8.5879629629629639E-3</v>
      </c>
      <c r="AR23" s="11">
        <f>RANK(AQ23,AQ$8:AQ$33,1)</f>
        <v>18</v>
      </c>
      <c r="AS23" s="16">
        <f>VLOOKUP(AR23,'Место-баллы'!$A$3:$B$52,2,0)</f>
        <v>51</v>
      </c>
      <c r="AT23" s="12"/>
      <c r="AU23" s="11">
        <v>6</v>
      </c>
      <c r="AV23" s="11">
        <v>5</v>
      </c>
      <c r="AW23" s="13">
        <f>TIME(0,AU23,AV23)</f>
        <v>4.2245370370370371E-3</v>
      </c>
      <c r="AX23" s="11">
        <v>87</v>
      </c>
      <c r="AY23" s="11">
        <f>AX$2-AX23</f>
        <v>3</v>
      </c>
      <c r="AZ23" s="13">
        <f>AW23+TIME(0,0,AY23)</f>
        <v>4.2592592592592595E-3</v>
      </c>
      <c r="BA23" s="11">
        <f>RANK(AZ23,AZ$8:AZ$33,1)</f>
        <v>14</v>
      </c>
      <c r="BB23" s="16">
        <f>VLOOKUP(BA23,'Место-баллы'!$A$3:$B$52,2,0)</f>
        <v>59</v>
      </c>
    </row>
    <row r="24" spans="2:54" x14ac:dyDescent="0.25">
      <c r="B24" s="16">
        <f>RANK(C24,C$8:C$33,0)</f>
        <v>17</v>
      </c>
      <c r="C24" s="16">
        <f>SUMIF($G$1:$BB$1,1,$G24:$BB24)</f>
        <v>330</v>
      </c>
      <c r="D24" s="14"/>
      <c r="E24" s="9" t="s">
        <v>44</v>
      </c>
      <c r="F24" s="14"/>
      <c r="G24" s="16">
        <f>70*15</f>
        <v>1050</v>
      </c>
      <c r="H24" s="16">
        <f>RANK(G24,G$8:G$33,0)</f>
        <v>15</v>
      </c>
      <c r="I24" s="16">
        <f>VLOOKUP(H24,'Место-баллы'!$A$3:$B$52,2,0)</f>
        <v>57</v>
      </c>
      <c r="J24" s="14"/>
      <c r="K24" s="11">
        <v>12</v>
      </c>
      <c r="L24" s="11">
        <v>18</v>
      </c>
      <c r="M24" s="13">
        <f>TIME(0,K24,L24)</f>
        <v>8.5416666666666679E-3</v>
      </c>
      <c r="N24" s="11">
        <v>150</v>
      </c>
      <c r="O24" s="11">
        <f>N$2-N24</f>
        <v>0</v>
      </c>
      <c r="P24" s="13">
        <f>M24+TIME(0,0,O24)</f>
        <v>8.5416666666666679E-3</v>
      </c>
      <c r="Q24" s="11">
        <f>RANK(P24,P$8:P$33,1)</f>
        <v>11</v>
      </c>
      <c r="R24" s="16">
        <f>VLOOKUP(Q24,'Место-баллы'!$A$3:$B$52,2,0)</f>
        <v>65</v>
      </c>
      <c r="S24" s="12"/>
      <c r="T24" s="11">
        <v>9</v>
      </c>
      <c r="U24" s="11">
        <v>5</v>
      </c>
      <c r="V24" s="13">
        <f>TIME(0,T24,U24)</f>
        <v>6.3078703703703708E-3</v>
      </c>
      <c r="W24" s="11">
        <v>35</v>
      </c>
      <c r="X24" s="11">
        <f>W$2-W24</f>
        <v>13</v>
      </c>
      <c r="Y24" s="13">
        <f>V24+TIME(0,0,X24)</f>
        <v>6.4583333333333342E-3</v>
      </c>
      <c r="Z24" s="11">
        <f>RANK(Y24,Y$8:Y$33,1)</f>
        <v>14</v>
      </c>
      <c r="AA24" s="16">
        <f>VLOOKUP(Z24,'Место-баллы'!$A$3:$B$52,2,0)</f>
        <v>59</v>
      </c>
      <c r="AB24" s="12"/>
      <c r="AC24" s="11">
        <v>6</v>
      </c>
      <c r="AD24" s="11">
        <v>15</v>
      </c>
      <c r="AE24" s="13">
        <f>TIME(0,AC24,AD24)</f>
        <v>4.340277777777778E-3</v>
      </c>
      <c r="AF24" s="11">
        <v>1150</v>
      </c>
      <c r="AG24" s="11">
        <f>AF$2-AF24</f>
        <v>0</v>
      </c>
      <c r="AH24" s="13">
        <f>AE24+TIME(0,0,AG24)</f>
        <v>4.340277777777778E-3</v>
      </c>
      <c r="AI24" s="11">
        <f>RANK(AH24,AH$8:AH$33,1)</f>
        <v>23</v>
      </c>
      <c r="AJ24" s="16">
        <f>VLOOKUP(AI24,'Место-баллы'!$A$3:$B$52,2,0)</f>
        <v>41</v>
      </c>
      <c r="AK24" s="12"/>
      <c r="AL24" s="11">
        <v>12</v>
      </c>
      <c r="AM24" s="11">
        <v>5</v>
      </c>
      <c r="AN24" s="13">
        <f>TIME(0,AL24,AM24)</f>
        <v>8.3912037037037045E-3</v>
      </c>
      <c r="AO24" s="11">
        <v>170</v>
      </c>
      <c r="AP24" s="11">
        <f>AO$2-AO24</f>
        <v>40</v>
      </c>
      <c r="AQ24" s="13">
        <f>AN24+TIME(0,0,AP24)</f>
        <v>8.8541666666666682E-3</v>
      </c>
      <c r="AR24" s="11">
        <f>RANK(AQ24,AQ$8:AQ$33,1)</f>
        <v>21</v>
      </c>
      <c r="AS24" s="16">
        <f>VLOOKUP(AR24,'Место-баллы'!$A$3:$B$52,2,0)</f>
        <v>45</v>
      </c>
      <c r="AT24" s="12"/>
      <c r="AU24" s="11">
        <v>5</v>
      </c>
      <c r="AV24" s="11">
        <v>54</v>
      </c>
      <c r="AW24" s="13">
        <f>TIME(0,AU24,AV24)</f>
        <v>4.0972222222222226E-3</v>
      </c>
      <c r="AX24" s="11">
        <v>90</v>
      </c>
      <c r="AY24" s="11">
        <f>AX$2-AX24</f>
        <v>0</v>
      </c>
      <c r="AZ24" s="13">
        <f>AW24+TIME(0,0,AY24)</f>
        <v>4.0972222222222226E-3</v>
      </c>
      <c r="BA24" s="11">
        <f>RANK(AZ24,AZ$8:AZ$33,1)</f>
        <v>12</v>
      </c>
      <c r="BB24" s="16">
        <f>VLOOKUP(BA24,'Место-баллы'!$A$3:$B$52,2,0)</f>
        <v>63</v>
      </c>
    </row>
    <row r="25" spans="2:54" x14ac:dyDescent="0.25">
      <c r="B25" s="16">
        <v>18</v>
      </c>
      <c r="C25" s="16">
        <f>SUMIF($G$1:$BB$1,1,$G25:$BB25)</f>
        <v>330</v>
      </c>
      <c r="D25" s="14"/>
      <c r="E25" s="22" t="s">
        <v>75</v>
      </c>
      <c r="F25" s="14"/>
      <c r="G25" s="16">
        <f>60*15</f>
        <v>900</v>
      </c>
      <c r="H25" s="16">
        <f>RANK(G25,G$8:G$33,0)</f>
        <v>17</v>
      </c>
      <c r="I25" s="16">
        <f>VLOOKUP(H25,'Место-баллы'!$A$3:$B$52,2,0)</f>
        <v>53</v>
      </c>
      <c r="J25" s="14"/>
      <c r="K25" s="11">
        <v>13</v>
      </c>
      <c r="L25" s="11">
        <v>52</v>
      </c>
      <c r="M25" s="13">
        <f>TIME(0,K25,L25)</f>
        <v>9.6296296296296303E-3</v>
      </c>
      <c r="N25" s="11">
        <v>150</v>
      </c>
      <c r="O25" s="11">
        <f>N$2-N25</f>
        <v>0</v>
      </c>
      <c r="P25" s="13">
        <f>M25+TIME(0,0,O25)</f>
        <v>9.6296296296296303E-3</v>
      </c>
      <c r="Q25" s="11">
        <f>RANK(P25,P$8:P$33,1)</f>
        <v>16</v>
      </c>
      <c r="R25" s="16">
        <f>VLOOKUP(Q25,'Место-баллы'!$A$3:$B$52,2,0)</f>
        <v>55</v>
      </c>
      <c r="S25" s="12"/>
      <c r="T25" s="11">
        <v>9</v>
      </c>
      <c r="U25" s="11">
        <v>5</v>
      </c>
      <c r="V25" s="13">
        <f>TIME(0,T25,U25)</f>
        <v>6.3078703703703708E-3</v>
      </c>
      <c r="W25" s="11">
        <v>38</v>
      </c>
      <c r="X25" s="11">
        <f>W$2-W25</f>
        <v>10</v>
      </c>
      <c r="Y25" s="13">
        <f>V25+TIME(0,0,X25)</f>
        <v>6.4236111111111117E-3</v>
      </c>
      <c r="Z25" s="11">
        <f>RANK(Y25,Y$8:Y$33,1)</f>
        <v>11</v>
      </c>
      <c r="AA25" s="16">
        <f>VLOOKUP(Z25,'Место-баллы'!$A$3:$B$52,2,0)</f>
        <v>65</v>
      </c>
      <c r="AB25" s="12"/>
      <c r="AC25" s="11">
        <v>5</v>
      </c>
      <c r="AD25" s="11">
        <v>36</v>
      </c>
      <c r="AE25" s="13">
        <f>TIME(0,AC25,AD25)</f>
        <v>3.8888888888888883E-3</v>
      </c>
      <c r="AF25" s="11">
        <v>1150</v>
      </c>
      <c r="AG25" s="11">
        <f>AF$2-AF25</f>
        <v>0</v>
      </c>
      <c r="AH25" s="13">
        <f>AE25+TIME(0,0,AG25)</f>
        <v>3.8888888888888883E-3</v>
      </c>
      <c r="AI25" s="11">
        <f>RANK(AH25,AH$8:AH$33,1)</f>
        <v>17</v>
      </c>
      <c r="AJ25" s="16">
        <f>VLOOKUP(AI25,'Место-баллы'!$A$3:$B$52,2,0)</f>
        <v>53</v>
      </c>
      <c r="AK25" s="12"/>
      <c r="AL25" s="11">
        <v>12</v>
      </c>
      <c r="AM25" s="11">
        <v>5</v>
      </c>
      <c r="AN25" s="13">
        <f>TIME(0,AL25,AM25)</f>
        <v>8.3912037037037045E-3</v>
      </c>
      <c r="AO25" s="11">
        <v>135</v>
      </c>
      <c r="AP25" s="11">
        <f>AO$2-AO25</f>
        <v>75</v>
      </c>
      <c r="AQ25" s="13">
        <f>AN25+TIME(0,0,AP25)</f>
        <v>9.2592592592592605E-3</v>
      </c>
      <c r="AR25" s="11">
        <f>RANK(AQ25,AQ$8:AQ$33,1)</f>
        <v>23</v>
      </c>
      <c r="AS25" s="16">
        <f>VLOOKUP(AR25,'Место-баллы'!$A$3:$B$52,2,0)</f>
        <v>41</v>
      </c>
      <c r="AT25" s="12"/>
      <c r="AU25" s="11">
        <v>5</v>
      </c>
      <c r="AV25" s="11">
        <v>54</v>
      </c>
      <c r="AW25" s="13">
        <f>TIME(0,AU25,AV25)</f>
        <v>4.0972222222222226E-3</v>
      </c>
      <c r="AX25" s="11">
        <v>90</v>
      </c>
      <c r="AY25" s="11">
        <f>AX$2-AX25</f>
        <v>0</v>
      </c>
      <c r="AZ25" s="13">
        <f>AW25+TIME(0,0,AY25)</f>
        <v>4.0972222222222226E-3</v>
      </c>
      <c r="BA25" s="11">
        <f>RANK(AZ25,AZ$8:AZ$33,1)</f>
        <v>12</v>
      </c>
      <c r="BB25" s="16">
        <f>VLOOKUP(BA25,'Место-баллы'!$A$3:$B$52,2,0)</f>
        <v>63</v>
      </c>
    </row>
    <row r="26" spans="2:54" x14ac:dyDescent="0.25">
      <c r="B26" s="16">
        <f>RANK(C26,C$8:C$33,0)</f>
        <v>19</v>
      </c>
      <c r="C26" s="16">
        <f>SUMIF($G$1:$BB$1,1,$G26:$BB26)</f>
        <v>316</v>
      </c>
      <c r="D26" s="14"/>
      <c r="E26" s="22" t="s">
        <v>70</v>
      </c>
      <c r="F26" s="14"/>
      <c r="G26" s="16">
        <f>70*15</f>
        <v>1050</v>
      </c>
      <c r="H26" s="16">
        <f>RANK(G26,G$8:G$33,0)</f>
        <v>15</v>
      </c>
      <c r="I26" s="16">
        <f>VLOOKUP(H26,'Место-баллы'!$A$3:$B$52,2,0)</f>
        <v>57</v>
      </c>
      <c r="J26" s="14"/>
      <c r="K26" s="11">
        <v>14</v>
      </c>
      <c r="L26" s="11">
        <v>43</v>
      </c>
      <c r="M26" s="13">
        <f>TIME(0,K26,L26)</f>
        <v>1.0219907407407408E-2</v>
      </c>
      <c r="N26" s="11">
        <v>150</v>
      </c>
      <c r="O26" s="11">
        <f>N$2-N26</f>
        <v>0</v>
      </c>
      <c r="P26" s="13">
        <f>M26+TIME(0,0,O26)</f>
        <v>1.0219907407407408E-2</v>
      </c>
      <c r="Q26" s="11">
        <f>RANK(P26,P$8:P$33,1)</f>
        <v>20</v>
      </c>
      <c r="R26" s="16">
        <f>VLOOKUP(Q26,'Место-баллы'!$A$3:$B$52,2,0)</f>
        <v>47</v>
      </c>
      <c r="S26" s="12"/>
      <c r="T26" s="11">
        <v>9</v>
      </c>
      <c r="U26" s="11">
        <v>5</v>
      </c>
      <c r="V26" s="13">
        <f>TIME(0,T26,U26)</f>
        <v>6.3078703703703708E-3</v>
      </c>
      <c r="W26" s="11">
        <v>31</v>
      </c>
      <c r="X26" s="11">
        <f>W$2-W26</f>
        <v>17</v>
      </c>
      <c r="Y26" s="13">
        <f>V26+TIME(0,0,X26)</f>
        <v>6.5046296296296302E-3</v>
      </c>
      <c r="Z26" s="11">
        <f>RANK(Y26,Y$8:Y$33,1)</f>
        <v>17</v>
      </c>
      <c r="AA26" s="16">
        <f>VLOOKUP(Z26,'Место-баллы'!$A$3:$B$52,2,0)</f>
        <v>53</v>
      </c>
      <c r="AB26" s="12"/>
      <c r="AC26" s="11">
        <v>5</v>
      </c>
      <c r="AD26" s="11">
        <v>44</v>
      </c>
      <c r="AE26" s="13">
        <f>TIME(0,AC26,AD26)</f>
        <v>3.9814814814814817E-3</v>
      </c>
      <c r="AF26" s="11">
        <v>1150</v>
      </c>
      <c r="AG26" s="11">
        <f>AF$2-AF26</f>
        <v>0</v>
      </c>
      <c r="AH26" s="13">
        <f>AE26+TIME(0,0,AG26)</f>
        <v>3.9814814814814817E-3</v>
      </c>
      <c r="AI26" s="11">
        <f>RANK(AH26,AH$8:AH$33,1)</f>
        <v>19</v>
      </c>
      <c r="AJ26" s="16">
        <f>VLOOKUP(AI26,'Место-баллы'!$A$3:$B$52,2,0)</f>
        <v>49</v>
      </c>
      <c r="AK26" s="12"/>
      <c r="AL26" s="11">
        <v>12</v>
      </c>
      <c r="AM26" s="11">
        <v>5</v>
      </c>
      <c r="AN26" s="13">
        <f>TIME(0,AL26,AM26)</f>
        <v>8.3912037037037045E-3</v>
      </c>
      <c r="AO26" s="11">
        <v>196</v>
      </c>
      <c r="AP26" s="11">
        <f>AO$2-AO26</f>
        <v>14</v>
      </c>
      <c r="AQ26" s="13">
        <f>AN26+TIME(0,0,AP26)</f>
        <v>8.5532407407407415E-3</v>
      </c>
      <c r="AR26" s="11">
        <f>RANK(AQ26,AQ$8:AQ$33,1)</f>
        <v>16</v>
      </c>
      <c r="AS26" s="16">
        <f>VLOOKUP(AR26,'Место-баллы'!$A$3:$B$52,2,0)</f>
        <v>55</v>
      </c>
      <c r="AT26" s="12"/>
      <c r="AU26" s="11">
        <v>6</v>
      </c>
      <c r="AV26" s="11">
        <v>5</v>
      </c>
      <c r="AW26" s="13">
        <f>TIME(0,AU26,AV26)</f>
        <v>4.2245370370370371E-3</v>
      </c>
      <c r="AX26" s="11">
        <v>83</v>
      </c>
      <c r="AY26" s="11">
        <f>AX$2-AX26</f>
        <v>7</v>
      </c>
      <c r="AZ26" s="13">
        <f>AW26+TIME(0,0,AY26)</f>
        <v>4.3055555555555555E-3</v>
      </c>
      <c r="BA26" s="11">
        <f>RANK(AZ26,AZ$8:AZ$33,1)</f>
        <v>16</v>
      </c>
      <c r="BB26" s="16">
        <f>VLOOKUP(BA26,'Место-баллы'!$A$3:$B$52,2,0)</f>
        <v>55</v>
      </c>
    </row>
    <row r="27" spans="2:54" x14ac:dyDescent="0.25">
      <c r="B27" s="16">
        <f>RANK(C27,C$8:C$33,0)</f>
        <v>20</v>
      </c>
      <c r="C27" s="16">
        <f>SUMIF($G$1:$BB$1,1,$G27:$BB27)</f>
        <v>306</v>
      </c>
      <c r="D27" s="14"/>
      <c r="E27" s="22" t="s">
        <v>76</v>
      </c>
      <c r="F27" s="14"/>
      <c r="G27" s="16">
        <f>50*15</f>
        <v>750</v>
      </c>
      <c r="H27" s="16">
        <f>RANK(G27,G$8:G$33,0)</f>
        <v>21</v>
      </c>
      <c r="I27" s="16">
        <f>VLOOKUP(H27,'Место-баллы'!$A$3:$B$52,2,0)</f>
        <v>45</v>
      </c>
      <c r="J27" s="14"/>
      <c r="K27" s="11">
        <v>12</v>
      </c>
      <c r="L27" s="11">
        <v>42</v>
      </c>
      <c r="M27" s="13">
        <f>TIME(0,K27,L27)</f>
        <v>8.819444444444444E-3</v>
      </c>
      <c r="N27" s="11">
        <v>150</v>
      </c>
      <c r="O27" s="11">
        <f>N$2-N27</f>
        <v>0</v>
      </c>
      <c r="P27" s="13">
        <f>M27+TIME(0,0,O27)</f>
        <v>8.819444444444444E-3</v>
      </c>
      <c r="Q27" s="11">
        <f>RANK(P27,P$8:P$33,1)</f>
        <v>12</v>
      </c>
      <c r="R27" s="16">
        <f>VLOOKUP(Q27,'Место-баллы'!$A$3:$B$52,2,0)</f>
        <v>63</v>
      </c>
      <c r="S27" s="12"/>
      <c r="T27" s="11">
        <v>9</v>
      </c>
      <c r="U27" s="11">
        <v>5</v>
      </c>
      <c r="V27" s="13">
        <f>TIME(0,T27,U27)</f>
        <v>6.3078703703703708E-3</v>
      </c>
      <c r="W27" s="11">
        <v>13</v>
      </c>
      <c r="X27" s="11">
        <f>W$2-W27</f>
        <v>35</v>
      </c>
      <c r="Y27" s="13">
        <f>V27+TIME(0,0,X27)</f>
        <v>6.7129629629629631E-3</v>
      </c>
      <c r="Z27" s="11">
        <f>RANK(Y27,Y$8:Y$33,1)</f>
        <v>24</v>
      </c>
      <c r="AA27" s="16">
        <f>VLOOKUP(Z27,'Место-баллы'!$A$3:$B$52,2,0)</f>
        <v>39</v>
      </c>
      <c r="AB27" s="12"/>
      <c r="AC27" s="11">
        <v>5</v>
      </c>
      <c r="AD27" s="11">
        <v>40</v>
      </c>
      <c r="AE27" s="13">
        <f>TIME(0,AC27,AD27)</f>
        <v>3.9351851851851857E-3</v>
      </c>
      <c r="AF27" s="11">
        <v>1150</v>
      </c>
      <c r="AG27" s="11">
        <f>AF$2-AF27</f>
        <v>0</v>
      </c>
      <c r="AH27" s="13">
        <f>AE27+TIME(0,0,AG27)</f>
        <v>3.9351851851851857E-3</v>
      </c>
      <c r="AI27" s="11">
        <f>RANK(AH27,AH$8:AH$33,1)</f>
        <v>18</v>
      </c>
      <c r="AJ27" s="16">
        <f>VLOOKUP(AI27,'Место-баллы'!$A$3:$B$52,2,0)</f>
        <v>51</v>
      </c>
      <c r="AK27" s="12"/>
      <c r="AL27" s="11">
        <v>11</v>
      </c>
      <c r="AM27" s="11">
        <v>43</v>
      </c>
      <c r="AN27" s="13">
        <f>TIME(0,AL27,AM27)</f>
        <v>8.1365740740740738E-3</v>
      </c>
      <c r="AO27" s="11">
        <v>210</v>
      </c>
      <c r="AP27" s="11">
        <f>AO$2-AO27</f>
        <v>0</v>
      </c>
      <c r="AQ27" s="13">
        <f>AN27+TIME(0,0,AP27)</f>
        <v>8.1365740740740738E-3</v>
      </c>
      <c r="AR27" s="11">
        <f>RANK(AQ27,AQ$8:AQ$33,1)</f>
        <v>14</v>
      </c>
      <c r="AS27" s="16">
        <f>VLOOKUP(AR27,'Место-баллы'!$A$3:$B$52,2,0)</f>
        <v>59</v>
      </c>
      <c r="AT27" s="12"/>
      <c r="AU27" s="11">
        <v>6</v>
      </c>
      <c r="AV27" s="11">
        <v>5</v>
      </c>
      <c r="AW27" s="13">
        <f>TIME(0,AU27,AV27)</f>
        <v>4.2245370370370371E-3</v>
      </c>
      <c r="AX27" s="11">
        <v>70</v>
      </c>
      <c r="AY27" s="11">
        <f>AX$2-AX27</f>
        <v>20</v>
      </c>
      <c r="AZ27" s="13">
        <f>AW27+TIME(0,0,AY27)</f>
        <v>4.4560185185185189E-3</v>
      </c>
      <c r="BA27" s="11">
        <f>RANK(AZ27,AZ$8:AZ$33,1)</f>
        <v>19</v>
      </c>
      <c r="BB27" s="16">
        <f>VLOOKUP(BA27,'Место-баллы'!$A$3:$B$52,2,0)</f>
        <v>49</v>
      </c>
    </row>
    <row r="28" spans="2:54" x14ac:dyDescent="0.25">
      <c r="B28" s="16">
        <f>RANK(C28,C$8:C$33,0)</f>
        <v>21</v>
      </c>
      <c r="C28" s="16">
        <f>SUMIF($G$1:$BB$1,1,$G28:$BB28)</f>
        <v>296</v>
      </c>
      <c r="D28" s="14"/>
      <c r="E28" s="22" t="s">
        <v>87</v>
      </c>
      <c r="F28" s="14"/>
      <c r="G28" s="16">
        <f>100*9</f>
        <v>900</v>
      </c>
      <c r="H28" s="16">
        <f>RANK(G28,G$8:G$33,0)</f>
        <v>17</v>
      </c>
      <c r="I28" s="16">
        <f>VLOOKUP(H28,'Место-баллы'!$A$3:$B$52,2,0)</f>
        <v>53</v>
      </c>
      <c r="J28" s="14"/>
      <c r="K28" s="11">
        <v>15</v>
      </c>
      <c r="L28" s="11">
        <v>5</v>
      </c>
      <c r="M28" s="13">
        <f>TIME(0,K28,L28)</f>
        <v>1.0474537037037037E-2</v>
      </c>
      <c r="N28" s="11">
        <v>110</v>
      </c>
      <c r="O28" s="11">
        <f>N$2-N28</f>
        <v>40</v>
      </c>
      <c r="P28" s="13">
        <f>M28+TIME(0,0,O28)</f>
        <v>1.0937500000000001E-2</v>
      </c>
      <c r="Q28" s="11">
        <f>RANK(P28,P$8:P$33,1)</f>
        <v>26</v>
      </c>
      <c r="R28" s="16">
        <f>VLOOKUP(Q28,'Место-баллы'!$A$3:$B$52,2,0)</f>
        <v>35</v>
      </c>
      <c r="S28" s="12"/>
      <c r="T28" s="11">
        <v>9</v>
      </c>
      <c r="U28" s="11">
        <v>5</v>
      </c>
      <c r="V28" s="13">
        <f>TIME(0,T28,U28)</f>
        <v>6.3078703703703708E-3</v>
      </c>
      <c r="W28" s="11">
        <v>19</v>
      </c>
      <c r="X28" s="11">
        <f>W$2-W28</f>
        <v>29</v>
      </c>
      <c r="Y28" s="13">
        <f>V28+TIME(0,0,X28)</f>
        <v>6.6435185185185191E-3</v>
      </c>
      <c r="Z28" s="11">
        <f>RANK(Y28,Y$8:Y$33,1)</f>
        <v>22</v>
      </c>
      <c r="AA28" s="16">
        <f>VLOOKUP(Z28,'Место-баллы'!$A$3:$B$52,2,0)</f>
        <v>43</v>
      </c>
      <c r="AB28" s="12"/>
      <c r="AC28" s="11">
        <v>5</v>
      </c>
      <c r="AD28" s="11">
        <v>14</v>
      </c>
      <c r="AE28" s="13">
        <f>TIME(0,AC28,AD28)</f>
        <v>3.6342592592592594E-3</v>
      </c>
      <c r="AF28" s="11">
        <v>1150</v>
      </c>
      <c r="AG28" s="11">
        <f>AF$2-AF28</f>
        <v>0</v>
      </c>
      <c r="AH28" s="13">
        <f>AE28+TIME(0,0,AG28)</f>
        <v>3.6342592592592594E-3</v>
      </c>
      <c r="AI28" s="11">
        <f>RANK(AH28,AH$8:AH$33,1)</f>
        <v>9</v>
      </c>
      <c r="AJ28" s="16">
        <f>VLOOKUP(AI28,'Место-баллы'!$A$3:$B$52,2,0)</f>
        <v>69</v>
      </c>
      <c r="AK28" s="12"/>
      <c r="AL28" s="11">
        <v>12</v>
      </c>
      <c r="AM28" s="11">
        <v>5</v>
      </c>
      <c r="AN28" s="13">
        <f>TIME(0,AL28,AM28)</f>
        <v>8.3912037037037045E-3</v>
      </c>
      <c r="AO28" s="11">
        <v>182</v>
      </c>
      <c r="AP28" s="11">
        <f>AO$2-AO28</f>
        <v>28</v>
      </c>
      <c r="AQ28" s="13">
        <f>AN28+TIME(0,0,AP28)</f>
        <v>8.7152777777777784E-3</v>
      </c>
      <c r="AR28" s="11">
        <f>RANK(AQ28,AQ$8:AQ$33,1)</f>
        <v>20</v>
      </c>
      <c r="AS28" s="16">
        <f>VLOOKUP(AR28,'Место-баллы'!$A$3:$B$52,2,0)</f>
        <v>47</v>
      </c>
      <c r="AT28" s="12"/>
      <c r="AU28" s="11">
        <v>6</v>
      </c>
      <c r="AV28" s="11">
        <v>5</v>
      </c>
      <c r="AW28" s="13">
        <f>TIME(0,AU28,AV28)</f>
        <v>4.2245370370370371E-3</v>
      </c>
      <c r="AX28" s="11">
        <v>70</v>
      </c>
      <c r="AY28" s="11">
        <f>AX$2-AX28</f>
        <v>20</v>
      </c>
      <c r="AZ28" s="13">
        <f>AW28+TIME(0,0,AY28)</f>
        <v>4.4560185185185189E-3</v>
      </c>
      <c r="BA28" s="11">
        <f>RANK(AZ28,AZ$8:AZ$33,1)</f>
        <v>19</v>
      </c>
      <c r="BB28" s="16">
        <f>VLOOKUP(BA28,'Место-баллы'!$A$3:$B$52,2,0)</f>
        <v>49</v>
      </c>
    </row>
    <row r="29" spans="2:54" x14ac:dyDescent="0.25">
      <c r="B29" s="16">
        <f>RANK(C29,C$8:C$33,0)</f>
        <v>22</v>
      </c>
      <c r="C29" s="16">
        <f>SUMIF($G$1:$BB$1,1,$G29:$BB29)</f>
        <v>284</v>
      </c>
      <c r="D29" s="14"/>
      <c r="E29" s="22" t="s">
        <v>72</v>
      </c>
      <c r="F29" s="14"/>
      <c r="G29" s="16">
        <f>70*12</f>
        <v>840</v>
      </c>
      <c r="H29" s="16">
        <f>RANK(G29,G$8:G$33,0)</f>
        <v>20</v>
      </c>
      <c r="I29" s="16">
        <f>VLOOKUP(H29,'Место-баллы'!$A$3:$B$52,2,0)</f>
        <v>47</v>
      </c>
      <c r="J29" s="14"/>
      <c r="K29" s="11">
        <v>15</v>
      </c>
      <c r="L29" s="11">
        <v>5</v>
      </c>
      <c r="M29" s="13">
        <f>TIME(0,K29,L29)</f>
        <v>1.0474537037037037E-2</v>
      </c>
      <c r="N29" s="11">
        <f>135+9</f>
        <v>144</v>
      </c>
      <c r="O29" s="11">
        <f>N$2-N29</f>
        <v>6</v>
      </c>
      <c r="P29" s="13">
        <f>M29+TIME(0,0,O29)</f>
        <v>1.0543981481481482E-2</v>
      </c>
      <c r="Q29" s="11">
        <f>RANK(P29,P$8:P$33,1)</f>
        <v>22</v>
      </c>
      <c r="R29" s="16">
        <f>VLOOKUP(Q29,'Место-баллы'!$A$3:$B$52,2,0)</f>
        <v>43</v>
      </c>
      <c r="S29" s="12"/>
      <c r="T29" s="11">
        <v>9</v>
      </c>
      <c r="U29" s="11">
        <v>5</v>
      </c>
      <c r="V29" s="13">
        <f>TIME(0,T29,U29)</f>
        <v>6.3078703703703708E-3</v>
      </c>
      <c r="W29" s="11">
        <v>26</v>
      </c>
      <c r="X29" s="11">
        <f>W$2-W29</f>
        <v>22</v>
      </c>
      <c r="Y29" s="13">
        <f>V29+TIME(0,0,X29)</f>
        <v>6.5625000000000006E-3</v>
      </c>
      <c r="Z29" s="11">
        <f>RANK(Y29,Y$8:Y$33,1)</f>
        <v>21</v>
      </c>
      <c r="AA29" s="16">
        <f>VLOOKUP(Z29,'Место-баллы'!$A$3:$B$52,2,0)</f>
        <v>45</v>
      </c>
      <c r="AB29" s="12"/>
      <c r="AC29" s="11">
        <v>5</v>
      </c>
      <c r="AD29" s="11">
        <v>52</v>
      </c>
      <c r="AE29" s="13">
        <f>TIME(0,AC29,AD29)</f>
        <v>4.0740740740740746E-3</v>
      </c>
      <c r="AF29" s="11">
        <v>1150</v>
      </c>
      <c r="AG29" s="11">
        <f>AF$2-AF29</f>
        <v>0</v>
      </c>
      <c r="AH29" s="13">
        <f>AE29+TIME(0,0,AG29)</f>
        <v>4.0740740740740746E-3</v>
      </c>
      <c r="AI29" s="11">
        <f>RANK(AH29,AH$8:AH$33,1)</f>
        <v>21</v>
      </c>
      <c r="AJ29" s="16">
        <f>VLOOKUP(AI29,'Место-баллы'!$A$3:$B$52,2,0)</f>
        <v>45</v>
      </c>
      <c r="AK29" s="12"/>
      <c r="AL29" s="11">
        <v>12</v>
      </c>
      <c r="AM29" s="11">
        <v>5</v>
      </c>
      <c r="AN29" s="13">
        <f>TIME(0,AL29,AM29)</f>
        <v>8.3912037037037045E-3</v>
      </c>
      <c r="AO29" s="11">
        <v>196</v>
      </c>
      <c r="AP29" s="11">
        <f>AO$2-AO29</f>
        <v>14</v>
      </c>
      <c r="AQ29" s="13">
        <f>AN29+TIME(0,0,AP29)</f>
        <v>8.5532407407407415E-3</v>
      </c>
      <c r="AR29" s="11">
        <f>RANK(AQ29,AQ$8:AQ$33,1)</f>
        <v>16</v>
      </c>
      <c r="AS29" s="16">
        <f>VLOOKUP(AR29,'Место-баллы'!$A$3:$B$52,2,0)</f>
        <v>55</v>
      </c>
      <c r="AT29" s="12"/>
      <c r="AU29" s="11">
        <v>6</v>
      </c>
      <c r="AV29" s="11">
        <v>5</v>
      </c>
      <c r="AW29" s="13">
        <f>TIME(0,AU29,AV29)</f>
        <v>4.2245370370370371E-3</v>
      </c>
      <c r="AX29" s="11">
        <v>70</v>
      </c>
      <c r="AY29" s="11">
        <f>AX$2-AX29</f>
        <v>20</v>
      </c>
      <c r="AZ29" s="13">
        <f>AW29+TIME(0,0,AY29)</f>
        <v>4.4560185185185189E-3</v>
      </c>
      <c r="BA29" s="11">
        <f>RANK(AZ29,AZ$8:AZ$33,1)</f>
        <v>19</v>
      </c>
      <c r="BB29" s="16">
        <f>VLOOKUP(BA29,'Место-баллы'!$A$3:$B$52,2,0)</f>
        <v>49</v>
      </c>
    </row>
    <row r="30" spans="2:54" x14ac:dyDescent="0.25">
      <c r="B30" s="16">
        <v>23</v>
      </c>
      <c r="C30" s="16">
        <f>SUMIF($G$1:$BB$1,1,$G30:$BB30)</f>
        <v>284</v>
      </c>
      <c r="D30" s="14"/>
      <c r="E30" s="22" t="s">
        <v>81</v>
      </c>
      <c r="F30" s="14"/>
      <c r="G30" s="16">
        <f>60*15</f>
        <v>900</v>
      </c>
      <c r="H30" s="16">
        <f>RANK(G30,G$8:G$33,0)</f>
        <v>17</v>
      </c>
      <c r="I30" s="16">
        <f>VLOOKUP(H30,'Место-баллы'!$A$3:$B$52,2,0)</f>
        <v>53</v>
      </c>
      <c r="J30" s="14"/>
      <c r="K30" s="11">
        <v>14</v>
      </c>
      <c r="L30" s="11">
        <v>42</v>
      </c>
      <c r="M30" s="13">
        <f>TIME(0,K30,L30)</f>
        <v>1.0208333333333333E-2</v>
      </c>
      <c r="N30" s="11">
        <v>150</v>
      </c>
      <c r="O30" s="11">
        <f>N$2-N30</f>
        <v>0</v>
      </c>
      <c r="P30" s="13">
        <f>M30+TIME(0,0,O30)</f>
        <v>1.0208333333333333E-2</v>
      </c>
      <c r="Q30" s="11">
        <f>RANK(P30,P$8:P$33,1)</f>
        <v>19</v>
      </c>
      <c r="R30" s="16">
        <f>VLOOKUP(Q30,'Место-баллы'!$A$3:$B$52,2,0)</f>
        <v>49</v>
      </c>
      <c r="S30" s="12"/>
      <c r="T30" s="11">
        <v>9</v>
      </c>
      <c r="U30" s="11">
        <v>5</v>
      </c>
      <c r="V30" s="13">
        <f>TIME(0,T30,U30)</f>
        <v>6.3078703703703708E-3</v>
      </c>
      <c r="W30" s="11">
        <v>28</v>
      </c>
      <c r="X30" s="11">
        <f>W$2-W30</f>
        <v>20</v>
      </c>
      <c r="Y30" s="13">
        <f>V30+TIME(0,0,X30)</f>
        <v>6.5393518518518526E-3</v>
      </c>
      <c r="Z30" s="11">
        <f>RANK(Y30,Y$8:Y$33,1)</f>
        <v>20</v>
      </c>
      <c r="AA30" s="16">
        <f>VLOOKUP(Z30,'Место-баллы'!$A$3:$B$52,2,0)</f>
        <v>47</v>
      </c>
      <c r="AB30" s="12"/>
      <c r="AC30" s="11">
        <v>5</v>
      </c>
      <c r="AD30" s="11">
        <v>57</v>
      </c>
      <c r="AE30" s="13">
        <f>TIME(0,AC30,AD30)</f>
        <v>4.1319444444444442E-3</v>
      </c>
      <c r="AF30" s="11">
        <v>1150</v>
      </c>
      <c r="AG30" s="11">
        <f>AF$2-AF30</f>
        <v>0</v>
      </c>
      <c r="AH30" s="13">
        <f>AE30+TIME(0,0,AG30)</f>
        <v>4.1319444444444442E-3</v>
      </c>
      <c r="AI30" s="11">
        <f>RANK(AH30,AH$8:AH$33,1)</f>
        <v>22</v>
      </c>
      <c r="AJ30" s="16">
        <f>VLOOKUP(AI30,'Место-баллы'!$A$3:$B$52,2,0)</f>
        <v>43</v>
      </c>
      <c r="AK30" s="12"/>
      <c r="AL30" s="11">
        <v>12</v>
      </c>
      <c r="AM30" s="11">
        <v>5</v>
      </c>
      <c r="AN30" s="13">
        <f>TIME(0,AL30,AM30)</f>
        <v>8.3912037037037045E-3</v>
      </c>
      <c r="AO30" s="11">
        <v>142</v>
      </c>
      <c r="AP30" s="11">
        <f>AO$2-AO30</f>
        <v>68</v>
      </c>
      <c r="AQ30" s="13">
        <f>AN30+TIME(0,0,AP30)</f>
        <v>9.178240740740742E-3</v>
      </c>
      <c r="AR30" s="11">
        <f>RANK(AQ30,AQ$8:AQ$33,1)</f>
        <v>22</v>
      </c>
      <c r="AS30" s="16">
        <f>VLOOKUP(AR30,'Место-баллы'!$A$3:$B$52,2,0)</f>
        <v>43</v>
      </c>
      <c r="AT30" s="12"/>
      <c r="AU30" s="11">
        <v>6</v>
      </c>
      <c r="AV30" s="11">
        <v>5</v>
      </c>
      <c r="AW30" s="13">
        <f>TIME(0,AU30,AV30)</f>
        <v>4.2245370370370371E-3</v>
      </c>
      <c r="AX30" s="11">
        <v>70</v>
      </c>
      <c r="AY30" s="11">
        <f>AX$2-AX30</f>
        <v>20</v>
      </c>
      <c r="AZ30" s="13">
        <f>AW30+TIME(0,0,AY30)</f>
        <v>4.4560185185185189E-3</v>
      </c>
      <c r="BA30" s="11">
        <f>RANK(AZ30,AZ$8:AZ$33,1)</f>
        <v>19</v>
      </c>
      <c r="BB30" s="16">
        <f>VLOOKUP(BA30,'Место-баллы'!$A$3:$B$52,2,0)</f>
        <v>49</v>
      </c>
    </row>
    <row r="31" spans="2:54" x14ac:dyDescent="0.25">
      <c r="B31" s="16">
        <f>RANK(C31,C$8:C$33,0)</f>
        <v>24</v>
      </c>
      <c r="C31" s="16">
        <f>SUMIF($G$1:$BB$1,1,$G31:$BB31)</f>
        <v>250</v>
      </c>
      <c r="D31" s="14"/>
      <c r="E31" s="22" t="s">
        <v>69</v>
      </c>
      <c r="F31" s="14"/>
      <c r="G31" s="16">
        <f>40*3+60*9</f>
        <v>660</v>
      </c>
      <c r="H31" s="16">
        <f>RANK(G31,G$8:G$33,0)</f>
        <v>23</v>
      </c>
      <c r="I31" s="16">
        <f>VLOOKUP(H31,'Место-баллы'!$A$3:$B$52,2,0)</f>
        <v>41</v>
      </c>
      <c r="J31" s="14"/>
      <c r="K31" s="11">
        <v>15</v>
      </c>
      <c r="L31" s="11">
        <v>5</v>
      </c>
      <c r="M31" s="13">
        <f>TIME(0,K31,L31)</f>
        <v>1.0474537037037037E-2</v>
      </c>
      <c r="N31" s="11">
        <v>125</v>
      </c>
      <c r="O31" s="11">
        <f>N$2-N31</f>
        <v>25</v>
      </c>
      <c r="P31" s="13">
        <f>M31+TIME(0,0,O31)</f>
        <v>1.0763888888888889E-2</v>
      </c>
      <c r="Q31" s="11">
        <f>RANK(P31,P$8:P$33,1)</f>
        <v>23</v>
      </c>
      <c r="R31" s="16">
        <f>VLOOKUP(Q31,'Место-баллы'!$A$3:$B$52,2,0)</f>
        <v>41</v>
      </c>
      <c r="S31" s="12"/>
      <c r="T31" s="11">
        <v>9</v>
      </c>
      <c r="U31" s="11">
        <v>5</v>
      </c>
      <c r="V31" s="13">
        <f>TIME(0,T31,U31)</f>
        <v>6.3078703703703708E-3</v>
      </c>
      <c r="W31" s="11">
        <v>15</v>
      </c>
      <c r="X31" s="11">
        <f>W$2-W31</f>
        <v>33</v>
      </c>
      <c r="Y31" s="13">
        <f>V31+TIME(0,0,X31)</f>
        <v>6.6898148148148151E-3</v>
      </c>
      <c r="Z31" s="11">
        <f>RANK(Y31,Y$8:Y$33,1)</f>
        <v>23</v>
      </c>
      <c r="AA31" s="16">
        <f>VLOOKUP(Z31,'Место-баллы'!$A$3:$B$52,2,0)</f>
        <v>41</v>
      </c>
      <c r="AB31" s="12"/>
      <c r="AC31" s="11">
        <v>7</v>
      </c>
      <c r="AD31" s="11">
        <v>20</v>
      </c>
      <c r="AE31" s="13">
        <f>TIME(0,AC31,AD31)</f>
        <v>5.0925925925925921E-3</v>
      </c>
      <c r="AF31" s="11">
        <v>1150</v>
      </c>
      <c r="AG31" s="11">
        <f>AF$2-AF31</f>
        <v>0</v>
      </c>
      <c r="AH31" s="13">
        <f>AE31+TIME(0,0,AG31)</f>
        <v>5.0925925925925921E-3</v>
      </c>
      <c r="AI31" s="11">
        <f>RANK(AH31,AH$8:AH$33,1)</f>
        <v>25</v>
      </c>
      <c r="AJ31" s="16">
        <f>VLOOKUP(AI31,'Место-баллы'!$A$3:$B$52,2,0)</f>
        <v>37</v>
      </c>
      <c r="AK31" s="12"/>
      <c r="AL31" s="11">
        <v>12</v>
      </c>
      <c r="AM31" s="11">
        <v>5</v>
      </c>
      <c r="AN31" s="13">
        <f>TIME(0,AL31,AM31)</f>
        <v>8.3912037037037045E-3</v>
      </c>
      <c r="AO31" s="11">
        <v>94</v>
      </c>
      <c r="AP31" s="11">
        <f>AO$2-AO31</f>
        <v>116</v>
      </c>
      <c r="AQ31" s="13">
        <f>AN31+TIME(0,0,AP31)</f>
        <v>9.7337962962962977E-3</v>
      </c>
      <c r="AR31" s="11">
        <f>RANK(AQ31,AQ$8:AQ$33,1)</f>
        <v>24</v>
      </c>
      <c r="AS31" s="16">
        <f>VLOOKUP(AR31,'Место-баллы'!$A$3:$B$52,2,0)</f>
        <v>39</v>
      </c>
      <c r="AT31" s="12"/>
      <c r="AU31" s="11">
        <v>6</v>
      </c>
      <c r="AV31" s="11">
        <v>5</v>
      </c>
      <c r="AW31" s="13">
        <f>TIME(0,AU31,AV31)</f>
        <v>4.2245370370370371E-3</v>
      </c>
      <c r="AX31" s="11">
        <v>78</v>
      </c>
      <c r="AY31" s="11">
        <f>AX$2-AX31</f>
        <v>12</v>
      </c>
      <c r="AZ31" s="13">
        <f>AW31+TIME(0,0,AY31)</f>
        <v>4.363425925925926E-3</v>
      </c>
      <c r="BA31" s="11">
        <f>RANK(AZ31,AZ$8:AZ$33,1)</f>
        <v>18</v>
      </c>
      <c r="BB31" s="16">
        <f>VLOOKUP(BA31,'Место-баллы'!$A$3:$B$52,2,0)</f>
        <v>51</v>
      </c>
    </row>
    <row r="32" spans="2:54" x14ac:dyDescent="0.25">
      <c r="B32" s="16">
        <f>RANK(C32,C$8:C$33,0)</f>
        <v>25</v>
      </c>
      <c r="C32" s="16">
        <f>SUMIF($G$1:$BB$1,1,$G32:$BB32)</f>
        <v>228</v>
      </c>
      <c r="D32" s="14"/>
      <c r="E32" s="22" t="s">
        <v>77</v>
      </c>
      <c r="F32" s="14"/>
      <c r="G32" s="16">
        <f>40*6+50*3</f>
        <v>390</v>
      </c>
      <c r="H32" s="16">
        <f>RANK(G32,G$8:G$33,0)</f>
        <v>26</v>
      </c>
      <c r="I32" s="16">
        <f>VLOOKUP(H32,'Место-баллы'!$A$3:$B$52,2,0)</f>
        <v>35</v>
      </c>
      <c r="J32" s="14"/>
      <c r="K32" s="11">
        <v>15</v>
      </c>
      <c r="L32" s="11">
        <v>5</v>
      </c>
      <c r="M32" s="13">
        <f>TIME(0,K32,L32)</f>
        <v>1.0474537037037037E-2</v>
      </c>
      <c r="N32" s="11">
        <f>105+8</f>
        <v>113</v>
      </c>
      <c r="O32" s="11">
        <f>N$2-N32</f>
        <v>37</v>
      </c>
      <c r="P32" s="13">
        <f>M32+TIME(0,0,O32)</f>
        <v>1.0902777777777779E-2</v>
      </c>
      <c r="Q32" s="11">
        <f>RANK(P32,P$8:P$33,1)</f>
        <v>25</v>
      </c>
      <c r="R32" s="16">
        <f>VLOOKUP(Q32,'Место-баллы'!$A$3:$B$52,2,0)</f>
        <v>37</v>
      </c>
      <c r="S32" s="12"/>
      <c r="T32" s="11">
        <v>9</v>
      </c>
      <c r="U32" s="11">
        <v>5</v>
      </c>
      <c r="V32" s="13">
        <f>TIME(0,T32,U32)</f>
        <v>6.3078703703703708E-3</v>
      </c>
      <c r="W32" s="11">
        <v>13</v>
      </c>
      <c r="X32" s="11">
        <f>W$2-W32</f>
        <v>35</v>
      </c>
      <c r="Y32" s="13">
        <f>V32+TIME(0,0,X32)</f>
        <v>6.7129629629629631E-3</v>
      </c>
      <c r="Z32" s="11">
        <f>RANK(Y32,Y$8:Y$33,1)</f>
        <v>24</v>
      </c>
      <c r="AA32" s="16">
        <f>VLOOKUP(Z32,'Место-баллы'!$A$3:$B$52,2,0)</f>
        <v>39</v>
      </c>
      <c r="AB32" s="12"/>
      <c r="AC32" s="11">
        <v>6</v>
      </c>
      <c r="AD32" s="11">
        <v>46</v>
      </c>
      <c r="AE32" s="13">
        <f>TIME(0,AC32,AD32)</f>
        <v>4.6990740740740743E-3</v>
      </c>
      <c r="AF32" s="11">
        <v>1150</v>
      </c>
      <c r="AG32" s="11">
        <f>AF$2-AF32</f>
        <v>0</v>
      </c>
      <c r="AH32" s="13">
        <f>AE32+TIME(0,0,AG32)</f>
        <v>4.6990740740740743E-3</v>
      </c>
      <c r="AI32" s="11">
        <f>RANK(AH32,AH$8:AH$33,1)</f>
        <v>24</v>
      </c>
      <c r="AJ32" s="16">
        <f>VLOOKUP(AI32,'Место-баллы'!$A$3:$B$52,2,0)</f>
        <v>39</v>
      </c>
      <c r="AK32" s="12"/>
      <c r="AL32" s="11">
        <v>12</v>
      </c>
      <c r="AM32" s="11">
        <v>5</v>
      </c>
      <c r="AN32" s="13">
        <f>TIME(0,AL32,AM32)</f>
        <v>8.3912037037037045E-3</v>
      </c>
      <c r="AO32" s="11">
        <v>55</v>
      </c>
      <c r="AP32" s="11">
        <f>AO$2-AO32</f>
        <v>155</v>
      </c>
      <c r="AQ32" s="13">
        <f>AN32+TIME(0,0,AP32)</f>
        <v>1.0185185185185186E-2</v>
      </c>
      <c r="AR32" s="11">
        <f>RANK(AQ32,AQ$8:AQ$33,1)</f>
        <v>25</v>
      </c>
      <c r="AS32" s="16">
        <f>VLOOKUP(AR32,'Место-баллы'!$A$3:$B$52,2,0)</f>
        <v>37</v>
      </c>
      <c r="AT32" s="12"/>
      <c r="AU32" s="11">
        <v>6</v>
      </c>
      <c r="AV32" s="11">
        <v>5</v>
      </c>
      <c r="AW32" s="13">
        <f>TIME(0,AU32,AV32)</f>
        <v>4.2245370370370371E-3</v>
      </c>
      <c r="AX32" s="11">
        <v>56</v>
      </c>
      <c r="AY32" s="11">
        <f>AX$2-AX32</f>
        <v>34</v>
      </c>
      <c r="AZ32" s="13">
        <f>AW32+TIME(0,0,AY32)</f>
        <v>4.6180555555555558E-3</v>
      </c>
      <c r="BA32" s="11">
        <f>RANK(AZ32,AZ$8:AZ$33,1)</f>
        <v>23</v>
      </c>
      <c r="BB32" s="16">
        <f>VLOOKUP(BA32,'Место-баллы'!$A$3:$B$52,2,0)</f>
        <v>41</v>
      </c>
    </row>
    <row r="33" spans="2:54" x14ac:dyDescent="0.25">
      <c r="B33" s="16">
        <f>RANK(C33,C$8:C$33,0)</f>
        <v>26</v>
      </c>
      <c r="C33" s="16">
        <f>SUMIF($G$1:$BB$1,1,$G33:$BB33)</f>
        <v>76</v>
      </c>
      <c r="D33" s="14"/>
      <c r="E33" s="22" t="s">
        <v>91</v>
      </c>
      <c r="F33" s="14"/>
      <c r="G33" s="16">
        <f>60*9</f>
        <v>540</v>
      </c>
      <c r="H33" s="16">
        <f>RANK(G33,G$8:G$33,0)</f>
        <v>25</v>
      </c>
      <c r="I33" s="16">
        <f>VLOOKUP(H33,'Место-баллы'!$A$3:$B$52,2,0)</f>
        <v>37</v>
      </c>
      <c r="J33" s="14"/>
      <c r="K33" s="11">
        <v>15</v>
      </c>
      <c r="L33" s="11">
        <v>5</v>
      </c>
      <c r="M33" s="13">
        <f>TIME(0,K33,L33)</f>
        <v>1.0474537037037037E-2</v>
      </c>
      <c r="N33" s="11">
        <v>120</v>
      </c>
      <c r="O33" s="11">
        <f>N$2-N33</f>
        <v>30</v>
      </c>
      <c r="P33" s="13">
        <f>M33+TIME(0,0,O33)</f>
        <v>1.082175925925926E-2</v>
      </c>
      <c r="Q33" s="11">
        <f>RANK(P33,P$8:P$33,1)</f>
        <v>24</v>
      </c>
      <c r="R33" s="16">
        <f>VLOOKUP(Q33,'Место-баллы'!$A$3:$B$52,2,0)</f>
        <v>39</v>
      </c>
      <c r="S33" s="12"/>
      <c r="T33" s="11">
        <v>9</v>
      </c>
      <c r="U33" s="11">
        <v>5</v>
      </c>
      <c r="V33" s="13">
        <f>TIME(0,T33,U33)</f>
        <v>6.3078703703703708E-3</v>
      </c>
      <c r="W33" s="11">
        <v>0</v>
      </c>
      <c r="X33" s="11">
        <f>W$2-W33</f>
        <v>48</v>
      </c>
      <c r="Y33" s="13">
        <f>V33+TIME(0,0,X33)</f>
        <v>6.8634259259259265E-3</v>
      </c>
      <c r="Z33" s="11">
        <f>RANK(Y33,Y$8:Y$33,1)</f>
        <v>26</v>
      </c>
      <c r="AA33" s="16">
        <v>0</v>
      </c>
      <c r="AB33" s="12"/>
      <c r="AC33" s="11">
        <v>12</v>
      </c>
      <c r="AD33" s="11">
        <v>5</v>
      </c>
      <c r="AE33" s="13">
        <f>TIME(0,AC33,AD33)</f>
        <v>8.3912037037037045E-3</v>
      </c>
      <c r="AF33" s="11">
        <v>0</v>
      </c>
      <c r="AG33" s="11">
        <f>AF$2-AF33</f>
        <v>1150</v>
      </c>
      <c r="AH33" s="13">
        <f>AE33+TIME(0,0,AG33)</f>
        <v>2.1701388888888892E-2</v>
      </c>
      <c r="AI33" s="11">
        <f>RANK(AH33,AH$8:AH$33,1)</f>
        <v>26</v>
      </c>
      <c r="AJ33" s="16">
        <v>0</v>
      </c>
      <c r="AK33" s="12"/>
      <c r="AL33" s="11">
        <v>12</v>
      </c>
      <c r="AM33" s="11">
        <v>5</v>
      </c>
      <c r="AN33" s="13">
        <f>TIME(0,AL33,AM33)</f>
        <v>8.3912037037037045E-3</v>
      </c>
      <c r="AO33" s="11">
        <v>0</v>
      </c>
      <c r="AP33" s="11">
        <f>AO$2-AO33</f>
        <v>210</v>
      </c>
      <c r="AQ33" s="13">
        <f>AN33+TIME(0,0,AP33)</f>
        <v>1.082175925925926E-2</v>
      </c>
      <c r="AR33" s="11">
        <f>RANK(AQ33,AQ$8:AQ$33,1)</f>
        <v>26</v>
      </c>
      <c r="AS33" s="16">
        <v>0</v>
      </c>
      <c r="AT33" s="12"/>
      <c r="AU33" s="11">
        <v>6</v>
      </c>
      <c r="AV33" s="11">
        <v>5</v>
      </c>
      <c r="AW33" s="13">
        <f>TIME(0,AU33,AV33)</f>
        <v>4.2245370370370371E-3</v>
      </c>
      <c r="AX33" s="11">
        <v>0</v>
      </c>
      <c r="AY33" s="11">
        <f>AX$2-AX33</f>
        <v>90</v>
      </c>
      <c r="AZ33" s="13">
        <f>AW33+TIME(0,0,AY33)</f>
        <v>5.2662037037037035E-3</v>
      </c>
      <c r="BA33" s="11">
        <f>RANK(AZ33,AZ$8:AZ$33,1)</f>
        <v>24</v>
      </c>
      <c r="BB33" s="16">
        <v>0</v>
      </c>
    </row>
    <row r="34" spans="2:54" ht="18.75" customHeight="1" x14ac:dyDescent="0.25"/>
    <row r="35" spans="2:54" ht="18.75" customHeight="1" x14ac:dyDescent="0.25"/>
    <row r="36" spans="2:54" ht="18.75" customHeight="1" x14ac:dyDescent="0.25"/>
    <row r="37" spans="2:54" ht="18.75" customHeight="1" x14ac:dyDescent="0.25"/>
    <row r="38" spans="2:54" ht="18.75" customHeight="1" x14ac:dyDescent="0.25"/>
    <row r="39" spans="2:54" ht="18.75" customHeight="1" x14ac:dyDescent="0.25"/>
    <row r="40" spans="2:54" ht="18.75" customHeight="1" x14ac:dyDescent="0.25"/>
    <row r="41" spans="2:54" ht="18.75" customHeight="1" x14ac:dyDescent="0.25"/>
    <row r="42" spans="2:54" ht="18.75" customHeight="1" x14ac:dyDescent="0.25"/>
    <row r="43" spans="2:54" ht="18.75" customHeight="1" x14ac:dyDescent="0.25"/>
    <row r="44" spans="2:54" ht="18.75" customHeight="1" x14ac:dyDescent="0.25"/>
    <row r="45" spans="2:54" ht="18.75" customHeight="1" x14ac:dyDescent="0.25"/>
    <row r="46" spans="2:54" ht="18.75" customHeight="1" x14ac:dyDescent="0.25"/>
    <row r="47" spans="2:54" ht="18.75" customHeight="1" x14ac:dyDescent="0.25"/>
    <row r="48" spans="2:54" ht="18.75" customHeight="1" x14ac:dyDescent="0.25"/>
    <row r="49" ht="18.75" customHeight="1" x14ac:dyDescent="0.25"/>
    <row r="50" ht="18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</sheetData>
  <autoFilter ref="B7:BB7" xr:uid="{00000000-0001-0000-0A00-000000000000}">
    <sortState xmlns:xlrd2="http://schemas.microsoft.com/office/spreadsheetml/2017/richdata2" ref="B8:BB33">
      <sortCondition ref="B7"/>
    </sortState>
  </autoFilter>
  <mergeCells count="8">
    <mergeCell ref="AL5:AS6"/>
    <mergeCell ref="AU5:BB6"/>
    <mergeCell ref="B5:C6"/>
    <mergeCell ref="E5:E6"/>
    <mergeCell ref="G5:I6"/>
    <mergeCell ref="K5:R6"/>
    <mergeCell ref="T5:AA6"/>
    <mergeCell ref="AC5:AJ6"/>
  </mergeCells>
  <printOptions horizontalCentered="1" verticalCentered="1"/>
  <pageMargins left="0" right="0" top="0" bottom="0" header="0" footer="0"/>
  <pageSetup paperSize="9" scale="66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E49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14" sqref="F14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21.42578125" bestFit="1" customWidth="1"/>
    <col min="6" max="6" width="1.42578125" customWidth="1"/>
    <col min="7" max="7" width="5.140625" hidden="1" customWidth="1" outlineLevel="1"/>
    <col min="8" max="8" width="4.28515625" hidden="1" customWidth="1" outlineLevel="1"/>
    <col min="9" max="9" width="7.140625" customWidth="1" collapsed="1"/>
    <col min="10" max="10" width="6.85546875" customWidth="1"/>
    <col min="11" max="11" width="7.85546875" hidden="1" customWidth="1" outlineLevel="1"/>
    <col min="12" max="12" width="7.140625" hidden="1" customWidth="1" outlineLevel="1"/>
    <col min="13" max="13" width="7.140625" customWidth="1" collapsed="1"/>
    <col min="14" max="14" width="6.85546875" customWidth="1"/>
    <col min="15" max="15" width="1.42578125" customWidth="1"/>
    <col min="16" max="16" width="5.5703125" customWidth="1"/>
    <col min="17" max="17" width="7.140625" customWidth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9.140625" bestFit="1" customWidth="1" collapsed="1"/>
    <col min="50" max="50" width="5.140625" hidden="1" customWidth="1" outlineLevel="1"/>
    <col min="51" max="51" width="4.28515625" hidden="1" customWidth="1" outlineLevel="1"/>
    <col min="52" max="52" width="7.140625" customWidth="1" collapsed="1"/>
    <col min="53" max="53" width="6.85546875" customWidth="1"/>
    <col min="54" max="54" width="7.85546875" hidden="1" customWidth="1" outlineLevel="1"/>
    <col min="55" max="55" width="7.140625" hidden="1" customWidth="1" outlineLevel="1"/>
    <col min="56" max="56" width="7.140625" customWidth="1" collapsed="1"/>
    <col min="57" max="57" width="6.85546875" customWidth="1"/>
  </cols>
  <sheetData>
    <row r="1" spans="2:57" x14ac:dyDescent="0.25">
      <c r="B1" s="15"/>
      <c r="C1" s="15"/>
      <c r="D1" s="15"/>
      <c r="E1" s="8"/>
      <c r="F1" s="15"/>
      <c r="G1" s="3"/>
      <c r="H1" s="3"/>
      <c r="I1" s="3"/>
      <c r="J1" s="3"/>
      <c r="K1" s="3"/>
      <c r="L1" s="3"/>
      <c r="M1" s="3"/>
      <c r="N1" s="10">
        <v>1</v>
      </c>
      <c r="O1" s="15"/>
      <c r="P1" s="19"/>
      <c r="Q1" s="19"/>
      <c r="R1" s="2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X1" s="3"/>
      <c r="AY1" s="3"/>
      <c r="AZ1" s="3"/>
      <c r="BA1" s="3"/>
      <c r="BB1" s="3"/>
      <c r="BC1" s="3"/>
      <c r="BD1" s="3"/>
      <c r="BE1" s="10">
        <v>1</v>
      </c>
    </row>
    <row r="2" spans="2:57" x14ac:dyDescent="0.25">
      <c r="B2" s="15"/>
      <c r="C2" s="15"/>
      <c r="D2" s="15"/>
      <c r="E2" s="8"/>
      <c r="F2" s="15"/>
      <c r="G2" s="3"/>
      <c r="H2" s="3"/>
      <c r="I2" s="3"/>
      <c r="J2" s="21">
        <f>4*20</f>
        <v>80</v>
      </c>
      <c r="K2" s="3"/>
      <c r="L2" s="3"/>
      <c r="M2" s="3"/>
      <c r="N2" s="3"/>
      <c r="O2" s="15"/>
      <c r="P2" s="19"/>
      <c r="Q2" s="19"/>
      <c r="R2" s="19"/>
      <c r="T2" s="3"/>
      <c r="U2" s="3"/>
      <c r="V2" s="3"/>
      <c r="W2" s="21">
        <f>3*(3+10+1)</f>
        <v>42</v>
      </c>
      <c r="X2" s="3"/>
      <c r="Y2" s="3"/>
      <c r="Z2" s="3"/>
      <c r="AA2" s="3"/>
      <c r="AC2" s="3"/>
      <c r="AD2" s="3"/>
      <c r="AE2" s="3"/>
      <c r="AF2" s="21">
        <v>500</v>
      </c>
      <c r="AG2" s="3"/>
      <c r="AH2" s="3"/>
      <c r="AI2" s="3"/>
      <c r="AJ2" s="3"/>
      <c r="AL2" s="3"/>
      <c r="AM2" s="3"/>
      <c r="AN2" s="3"/>
      <c r="AO2" s="21">
        <v>130</v>
      </c>
      <c r="AP2" s="3"/>
      <c r="AQ2" s="3"/>
      <c r="AR2" s="3"/>
      <c r="AS2" s="3"/>
      <c r="AX2" s="3"/>
      <c r="AY2" s="3"/>
      <c r="AZ2" s="3"/>
      <c r="BA2" s="21">
        <f>20+20+15+15+5+5</f>
        <v>80</v>
      </c>
      <c r="BB2" s="3"/>
      <c r="BC2" s="3"/>
      <c r="BD2" s="3"/>
      <c r="BE2" s="3"/>
    </row>
    <row r="3" spans="2:57" x14ac:dyDescent="0.25">
      <c r="B3" s="15"/>
      <c r="C3" s="15"/>
      <c r="D3" s="15"/>
      <c r="E3" s="8"/>
      <c r="F3" s="15"/>
      <c r="G3" s="3"/>
      <c r="H3" s="3"/>
      <c r="I3" s="3"/>
      <c r="J3" s="4" t="s">
        <v>18</v>
      </c>
      <c r="K3" s="3"/>
      <c r="L3" s="3"/>
      <c r="M3" s="3"/>
      <c r="N3" s="3"/>
      <c r="O3" s="15"/>
      <c r="P3" s="19"/>
      <c r="Q3" s="19"/>
      <c r="R3" s="19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X3" s="3"/>
      <c r="AY3" s="3"/>
      <c r="AZ3" s="3"/>
      <c r="BA3" s="4" t="s">
        <v>18</v>
      </c>
      <c r="BB3" s="3"/>
      <c r="BC3" s="3"/>
      <c r="BD3" s="3"/>
      <c r="BE3" s="3"/>
    </row>
    <row r="4" spans="2:57" x14ac:dyDescent="0.25">
      <c r="B4" s="15"/>
      <c r="C4" s="15"/>
      <c r="D4" s="15"/>
      <c r="F4" s="15"/>
      <c r="G4" s="3"/>
      <c r="H4" s="3"/>
      <c r="I4" s="3"/>
      <c r="J4" s="3"/>
      <c r="K4" s="3"/>
      <c r="L4" s="3"/>
      <c r="M4" s="3"/>
      <c r="N4" s="3"/>
      <c r="O4" s="15"/>
      <c r="P4" s="19"/>
      <c r="Q4" s="19"/>
      <c r="R4" s="19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X4" s="3"/>
      <c r="AY4" s="3"/>
      <c r="AZ4" s="3"/>
      <c r="BA4" s="3"/>
      <c r="BB4" s="3"/>
      <c r="BC4" s="3"/>
      <c r="BD4" s="3"/>
      <c r="BE4" s="3"/>
    </row>
    <row r="5" spans="2:57" ht="15" customHeight="1" x14ac:dyDescent="0.25">
      <c r="B5" s="31" t="s">
        <v>4</v>
      </c>
      <c r="C5" s="32"/>
      <c r="D5" s="16"/>
      <c r="E5" s="35" t="s">
        <v>25</v>
      </c>
      <c r="F5" s="16"/>
      <c r="G5" s="35" t="s">
        <v>19</v>
      </c>
      <c r="H5" s="36"/>
      <c r="I5" s="36"/>
      <c r="J5" s="36"/>
      <c r="K5" s="36"/>
      <c r="L5" s="36"/>
      <c r="M5" s="36"/>
      <c r="N5" s="36"/>
      <c r="O5" s="23"/>
      <c r="P5" s="31" t="s">
        <v>20</v>
      </c>
      <c r="Q5" s="43"/>
      <c r="R5" s="32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7" t="s">
        <v>6</v>
      </c>
      <c r="AV5" s="38"/>
      <c r="AW5" s="38"/>
      <c r="AX5" s="38"/>
      <c r="AY5" s="38"/>
      <c r="AZ5" s="38"/>
      <c r="BA5" s="38"/>
      <c r="BB5" s="38"/>
      <c r="BC5" s="38"/>
      <c r="BD5" s="38"/>
      <c r="BE5" s="39"/>
    </row>
    <row r="6" spans="2:57" x14ac:dyDescent="0.25">
      <c r="B6" s="33"/>
      <c r="C6" s="34"/>
      <c r="D6" s="17"/>
      <c r="E6" s="36"/>
      <c r="F6" s="17"/>
      <c r="G6" s="36"/>
      <c r="H6" s="36"/>
      <c r="I6" s="36"/>
      <c r="J6" s="36"/>
      <c r="K6" s="36"/>
      <c r="L6" s="36"/>
      <c r="M6" s="36"/>
      <c r="N6" s="36"/>
      <c r="O6" s="24"/>
      <c r="P6" s="33"/>
      <c r="Q6" s="44"/>
      <c r="R6" s="34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40"/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7" spans="2:57" ht="25.5" x14ac:dyDescent="0.25">
      <c r="B7" s="25" t="s">
        <v>7</v>
      </c>
      <c r="C7" s="25" t="s">
        <v>8</v>
      </c>
      <c r="D7" s="18"/>
      <c r="E7" s="26" t="s">
        <v>9</v>
      </c>
      <c r="F7" s="18"/>
      <c r="G7" s="7" t="s">
        <v>10</v>
      </c>
      <c r="H7" s="7" t="s">
        <v>11</v>
      </c>
      <c r="I7" s="7" t="s">
        <v>12</v>
      </c>
      <c r="J7" s="27" t="s">
        <v>15</v>
      </c>
      <c r="K7" s="7" t="s">
        <v>16</v>
      </c>
      <c r="L7" s="7" t="s">
        <v>12</v>
      </c>
      <c r="M7" s="7" t="s">
        <v>13</v>
      </c>
      <c r="N7" s="7" t="s">
        <v>14</v>
      </c>
      <c r="O7" s="18"/>
      <c r="P7" s="28" t="s">
        <v>17</v>
      </c>
      <c r="Q7" s="28" t="s">
        <v>13</v>
      </c>
      <c r="R7" s="28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36</v>
      </c>
      <c r="AX7" s="7" t="s">
        <v>10</v>
      </c>
      <c r="AY7" s="7" t="s">
        <v>11</v>
      </c>
      <c r="AZ7" s="7" t="s">
        <v>12</v>
      </c>
      <c r="BA7" s="27" t="s">
        <v>15</v>
      </c>
      <c r="BB7" s="7" t="s">
        <v>16</v>
      </c>
      <c r="BC7" s="7" t="s">
        <v>12</v>
      </c>
      <c r="BD7" s="7" t="s">
        <v>13</v>
      </c>
      <c r="BE7" s="7" t="s">
        <v>14</v>
      </c>
    </row>
    <row r="8" spans="2:57" x14ac:dyDescent="0.25">
      <c r="B8" s="16">
        <f>RANK(C8,C$8:C$10,0)</f>
        <v>1</v>
      </c>
      <c r="C8" s="16">
        <f>SUMIF($G$1:$BE$1,1,$G8:$BE8)</f>
        <v>575</v>
      </c>
      <c r="D8" s="14"/>
      <c r="E8" s="9" t="s">
        <v>55</v>
      </c>
      <c r="F8" s="14"/>
      <c r="G8" s="11">
        <v>6</v>
      </c>
      <c r="H8" s="11">
        <v>5</v>
      </c>
      <c r="I8" s="13">
        <f>TIME(0,G8,H8)</f>
        <v>4.2245370370370371E-3</v>
      </c>
      <c r="J8" s="11">
        <v>67</v>
      </c>
      <c r="K8" s="11">
        <f>J$2-J8</f>
        <v>13</v>
      </c>
      <c r="L8" s="13">
        <f>I8+TIME(0,0,K8)</f>
        <v>4.3750000000000004E-3</v>
      </c>
      <c r="M8" s="11">
        <f>RANK(L8,L$8:L$10,1)</f>
        <v>3</v>
      </c>
      <c r="N8" s="16">
        <f>VLOOKUP(M8,'Место-баллы'!$A$3:$B$52,2,0)</f>
        <v>90</v>
      </c>
      <c r="O8" s="14"/>
      <c r="P8" s="16">
        <v>45</v>
      </c>
      <c r="Q8" s="16">
        <f>RANK(P8,P$8:P$10,0)</f>
        <v>1</v>
      </c>
      <c r="R8" s="16">
        <f>VLOOKUP(Q8,'Место-баллы'!$A$3:$B$52,2,0)</f>
        <v>100</v>
      </c>
      <c r="S8" s="12"/>
      <c r="T8" s="11">
        <v>9</v>
      </c>
      <c r="U8" s="11">
        <v>5</v>
      </c>
      <c r="V8" s="13">
        <f>TIME(0,T8,U8)</f>
        <v>6.3078703703703708E-3</v>
      </c>
      <c r="W8" s="11">
        <v>29</v>
      </c>
      <c r="X8" s="11">
        <f>W$2-W8</f>
        <v>13</v>
      </c>
      <c r="Y8" s="13">
        <f>V8+TIME(0,0,X8)</f>
        <v>6.4583333333333342E-3</v>
      </c>
      <c r="Z8" s="11">
        <f>RANK(Y8,Y$8:Y$10,1)</f>
        <v>2</v>
      </c>
      <c r="AA8" s="16">
        <f>VLOOKUP(Z8,'Место-баллы'!$A$3:$B$52,2,0)</f>
        <v>95</v>
      </c>
      <c r="AB8" s="12"/>
      <c r="AC8" s="11">
        <v>3</v>
      </c>
      <c r="AD8" s="11">
        <v>27</v>
      </c>
      <c r="AE8" s="13">
        <f>TIME(0,AC8,AD8)</f>
        <v>2.3958333333333336E-3</v>
      </c>
      <c r="AF8" s="11">
        <v>500</v>
      </c>
      <c r="AG8" s="11">
        <f>AF$2-AF8</f>
        <v>0</v>
      </c>
      <c r="AH8" s="13">
        <f>AE8+TIME(0,0,AG8)</f>
        <v>2.3958333333333336E-3</v>
      </c>
      <c r="AI8" s="11">
        <f>RANK(AH8,AH$8:AH$10,1)</f>
        <v>2</v>
      </c>
      <c r="AJ8" s="16">
        <f>VLOOKUP(AI8,'Место-баллы'!$A$3:$B$52,2,0)</f>
        <v>95</v>
      </c>
      <c r="AK8" s="12"/>
      <c r="AL8" s="11">
        <v>9</v>
      </c>
      <c r="AM8" s="11">
        <v>48</v>
      </c>
      <c r="AN8" s="13">
        <f>TIME(0,AL8,AM8)</f>
        <v>6.8055555555555569E-3</v>
      </c>
      <c r="AO8" s="11">
        <v>130</v>
      </c>
      <c r="AP8" s="11">
        <f>AO$2-AO8</f>
        <v>0</v>
      </c>
      <c r="AQ8" s="13">
        <f>AN8+TIME(0,0,AP8)</f>
        <v>6.8055555555555569E-3</v>
      </c>
      <c r="AR8" s="11">
        <f>RANK(AQ8,AQ$8:AQ$10,1)</f>
        <v>2</v>
      </c>
      <c r="AS8" s="16">
        <f>VLOOKUP(AR8,'Место-баллы'!$A$3:$B$52,2,0)</f>
        <v>95</v>
      </c>
      <c r="AT8" s="12"/>
      <c r="AU8" s="11">
        <v>3</v>
      </c>
      <c r="AV8" s="11">
        <v>25</v>
      </c>
      <c r="AW8" s="13">
        <f>TIME(0,AU8,AV8)</f>
        <v>2.3726851851851851E-3</v>
      </c>
      <c r="AX8" s="11">
        <v>6</v>
      </c>
      <c r="AY8" s="11">
        <v>5</v>
      </c>
      <c r="AZ8" s="13">
        <f>TIME(0,AX8,AY8)</f>
        <v>4.2245370370370371E-3</v>
      </c>
      <c r="BA8" s="11">
        <v>71</v>
      </c>
      <c r="BB8" s="11">
        <f>BA$2-BA8</f>
        <v>9</v>
      </c>
      <c r="BC8" s="13">
        <f>AZ8+TIME(0,0,BB8)</f>
        <v>4.3287037037037035E-3</v>
      </c>
      <c r="BD8" s="11">
        <f>RANK(BC8,BC$8:BC$10,1)</f>
        <v>1</v>
      </c>
      <c r="BE8" s="16">
        <f>VLOOKUP(BD8,'Место-баллы'!$A$3:$B$52,2,0)</f>
        <v>100</v>
      </c>
    </row>
    <row r="9" spans="2:57" x14ac:dyDescent="0.25">
      <c r="B9" s="16">
        <f>RANK(C9,C$8:C$10,0)</f>
        <v>2</v>
      </c>
      <c r="C9" s="16">
        <f>SUMIF($G$1:$BE$1,1,$G9:$BE9)</f>
        <v>570</v>
      </c>
      <c r="D9" s="14"/>
      <c r="E9" s="9" t="s">
        <v>54</v>
      </c>
      <c r="F9" s="14"/>
      <c r="G9" s="11">
        <v>6</v>
      </c>
      <c r="H9" s="11">
        <v>5</v>
      </c>
      <c r="I9" s="13">
        <f>TIME(0,G9,H9)</f>
        <v>4.2245370370370371E-3</v>
      </c>
      <c r="J9" s="11">
        <v>79</v>
      </c>
      <c r="K9" s="11">
        <f>J$2-J9</f>
        <v>1</v>
      </c>
      <c r="L9" s="13">
        <f>I9+TIME(0,0,K9)</f>
        <v>4.2361111111111115E-3</v>
      </c>
      <c r="M9" s="11">
        <f>RANK(L9,L$8:L$10,1)</f>
        <v>1</v>
      </c>
      <c r="N9" s="16">
        <f>VLOOKUP(M9,'Место-баллы'!$A$3:$B$52,2,0)</f>
        <v>100</v>
      </c>
      <c r="O9" s="14"/>
      <c r="P9" s="16">
        <v>42</v>
      </c>
      <c r="Q9" s="16">
        <f>RANK(P9,P$8:P$10,0)</f>
        <v>2</v>
      </c>
      <c r="R9" s="16">
        <f>VLOOKUP(Q9,'Место-баллы'!$A$3:$B$52,2,0)</f>
        <v>95</v>
      </c>
      <c r="S9" s="12"/>
      <c r="T9" s="11">
        <v>9</v>
      </c>
      <c r="U9" s="11">
        <v>5</v>
      </c>
      <c r="V9" s="13">
        <f>TIME(0,T9,U9)</f>
        <v>6.3078703703703708E-3</v>
      </c>
      <c r="W9" s="11">
        <v>30</v>
      </c>
      <c r="X9" s="11">
        <f>W$2-W9</f>
        <v>12</v>
      </c>
      <c r="Y9" s="13">
        <f>V9+TIME(0,0,X9)</f>
        <v>6.4467592592592597E-3</v>
      </c>
      <c r="Z9" s="11">
        <f>RANK(Y9,Y$8:Y$10,1)</f>
        <v>1</v>
      </c>
      <c r="AA9" s="16">
        <f>VLOOKUP(Z9,'Место-баллы'!$A$3:$B$52,2,0)</f>
        <v>100</v>
      </c>
      <c r="AB9" s="12"/>
      <c r="AC9" s="11">
        <v>3</v>
      </c>
      <c r="AD9" s="11">
        <v>45</v>
      </c>
      <c r="AE9" s="13">
        <f>TIME(0,AC9,AD9)</f>
        <v>2.6041666666666665E-3</v>
      </c>
      <c r="AF9" s="11">
        <v>500</v>
      </c>
      <c r="AG9" s="11">
        <f>AF$2-AF9</f>
        <v>0</v>
      </c>
      <c r="AH9" s="13">
        <f>AE9+TIME(0,0,AG9)</f>
        <v>2.6041666666666665E-3</v>
      </c>
      <c r="AI9" s="11">
        <f>RANK(AH9,AH$8:AH$10,1)</f>
        <v>3</v>
      </c>
      <c r="AJ9" s="16">
        <f>VLOOKUP(AI9,'Место-баллы'!$A$3:$B$52,2,0)</f>
        <v>90</v>
      </c>
      <c r="AK9" s="12"/>
      <c r="AL9" s="11">
        <v>11</v>
      </c>
      <c r="AM9" s="11">
        <v>51</v>
      </c>
      <c r="AN9" s="13">
        <f>TIME(0,AL9,AM9)</f>
        <v>8.2291666666666659E-3</v>
      </c>
      <c r="AO9" s="11">
        <v>130</v>
      </c>
      <c r="AP9" s="11">
        <f>AO$2-AO9</f>
        <v>0</v>
      </c>
      <c r="AQ9" s="13">
        <f>AN9+TIME(0,0,AP9)</f>
        <v>8.2291666666666659E-3</v>
      </c>
      <c r="AR9" s="11">
        <f>RANK(AQ9,AQ$8:AQ$10,1)</f>
        <v>3</v>
      </c>
      <c r="AS9" s="16">
        <f>VLOOKUP(AR9,'Место-баллы'!$A$3:$B$52,2,0)</f>
        <v>90</v>
      </c>
      <c r="AT9" s="12"/>
      <c r="AU9" s="11">
        <v>3</v>
      </c>
      <c r="AV9" s="11">
        <v>57</v>
      </c>
      <c r="AW9" s="13">
        <f>TIME(0,AU9,AV9)</f>
        <v>2.7430555555555559E-3</v>
      </c>
      <c r="AX9" s="11">
        <v>6</v>
      </c>
      <c r="AY9" s="11">
        <v>5</v>
      </c>
      <c r="AZ9" s="13">
        <f>TIME(0,AX9,AY9)</f>
        <v>4.2245370370370371E-3</v>
      </c>
      <c r="BA9" s="11">
        <v>70</v>
      </c>
      <c r="BB9" s="11">
        <f>BA$2-BA9</f>
        <v>10</v>
      </c>
      <c r="BC9" s="13">
        <f>AZ9+TIME(0,0,BB9)</f>
        <v>4.340277777777778E-3</v>
      </c>
      <c r="BD9" s="11">
        <f>RANK(BC9,BC$8:BC$10,1)</f>
        <v>2</v>
      </c>
      <c r="BE9" s="16">
        <f>VLOOKUP(BD9,'Место-баллы'!$A$3:$B$52,2,0)</f>
        <v>95</v>
      </c>
    </row>
    <row r="10" spans="2:57" x14ac:dyDescent="0.25">
      <c r="B10" s="16">
        <v>3</v>
      </c>
      <c r="C10" s="16">
        <f>SUMIF($G$1:$BE$1,1,$G10:$BE10)</f>
        <v>570</v>
      </c>
      <c r="D10" s="14"/>
      <c r="E10" s="9" t="s">
        <v>56</v>
      </c>
      <c r="F10" s="14"/>
      <c r="G10" s="11">
        <v>6</v>
      </c>
      <c r="H10" s="11">
        <v>5</v>
      </c>
      <c r="I10" s="13">
        <f>TIME(0,G10,H10)</f>
        <v>4.2245370370370371E-3</v>
      </c>
      <c r="J10" s="11">
        <v>76</v>
      </c>
      <c r="K10" s="11">
        <f>J$2-J10</f>
        <v>4</v>
      </c>
      <c r="L10" s="13">
        <f>I10+TIME(0,0,K10)</f>
        <v>4.2708333333333331E-3</v>
      </c>
      <c r="M10" s="11">
        <f>RANK(L10,L$8:L$10,1)</f>
        <v>2</v>
      </c>
      <c r="N10" s="16">
        <f>VLOOKUP(M10,'Место-баллы'!$A$3:$B$52,2,0)</f>
        <v>95</v>
      </c>
      <c r="O10" s="14"/>
      <c r="P10" s="16">
        <v>40</v>
      </c>
      <c r="Q10" s="16">
        <f>RANK(P10,P$8:P$10,0)</f>
        <v>3</v>
      </c>
      <c r="R10" s="16">
        <f>VLOOKUP(Q10,'Место-баллы'!$A$3:$B$52,2,0)</f>
        <v>90</v>
      </c>
      <c r="S10" s="12"/>
      <c r="T10" s="11">
        <v>9</v>
      </c>
      <c r="U10" s="11">
        <v>5</v>
      </c>
      <c r="V10" s="13">
        <f>TIME(0,T10,U10)</f>
        <v>6.3078703703703708E-3</v>
      </c>
      <c r="W10" s="11">
        <v>29</v>
      </c>
      <c r="X10" s="11">
        <f>W$2-W10</f>
        <v>13</v>
      </c>
      <c r="Y10" s="13">
        <f>V10+TIME(0,0,X10)</f>
        <v>6.4583333333333342E-3</v>
      </c>
      <c r="Z10" s="11">
        <f>RANK(Y10,Y$8:Y$10,1)</f>
        <v>2</v>
      </c>
      <c r="AA10" s="16">
        <f>VLOOKUP(Z10,'Место-баллы'!$A$3:$B$52,2,0)</f>
        <v>95</v>
      </c>
      <c r="AB10" s="12"/>
      <c r="AC10" s="11">
        <v>3</v>
      </c>
      <c r="AD10" s="11">
        <v>15</v>
      </c>
      <c r="AE10" s="13">
        <f>TIME(0,AC10,AD10)</f>
        <v>2.2569444444444447E-3</v>
      </c>
      <c r="AF10" s="11">
        <v>500</v>
      </c>
      <c r="AG10" s="11">
        <f>AF$2-AF10</f>
        <v>0</v>
      </c>
      <c r="AH10" s="13">
        <f>AE10+TIME(0,0,AG10)</f>
        <v>2.2569444444444447E-3</v>
      </c>
      <c r="AI10" s="11">
        <f>RANK(AH10,AH$8:AH$10,1)</f>
        <v>1</v>
      </c>
      <c r="AJ10" s="16">
        <f>VLOOKUP(AI10,'Место-баллы'!$A$3:$B$52,2,0)</f>
        <v>100</v>
      </c>
      <c r="AK10" s="12"/>
      <c r="AL10" s="11">
        <v>8</v>
      </c>
      <c r="AM10" s="11">
        <v>59</v>
      </c>
      <c r="AN10" s="13">
        <f>TIME(0,AL10,AM10)</f>
        <v>6.238425925925925E-3</v>
      </c>
      <c r="AO10" s="11">
        <v>130</v>
      </c>
      <c r="AP10" s="11">
        <f>AO$2-AO10</f>
        <v>0</v>
      </c>
      <c r="AQ10" s="13">
        <f>AN10+TIME(0,0,AP10)</f>
        <v>6.238425925925925E-3</v>
      </c>
      <c r="AR10" s="11">
        <f>RANK(AQ10,AQ$8:AQ$10,1)</f>
        <v>1</v>
      </c>
      <c r="AS10" s="16">
        <f>VLOOKUP(AR10,'Место-баллы'!$A$3:$B$52,2,0)</f>
        <v>100</v>
      </c>
      <c r="AT10" s="12"/>
      <c r="AU10" s="11">
        <v>5</v>
      </c>
      <c r="AV10" s="11">
        <v>5</v>
      </c>
      <c r="AW10" s="13">
        <f>TIME(0,AU10,AV10)</f>
        <v>3.530092592592592E-3</v>
      </c>
      <c r="AX10" s="11">
        <v>6</v>
      </c>
      <c r="AY10" s="11">
        <v>5</v>
      </c>
      <c r="AZ10" s="13">
        <f>TIME(0,AX10,AY10)</f>
        <v>4.2245370370370371E-3</v>
      </c>
      <c r="BA10" s="11">
        <v>70</v>
      </c>
      <c r="BB10" s="11">
        <f>BA$2-BA10</f>
        <v>10</v>
      </c>
      <c r="BC10" s="13">
        <f>AZ10+TIME(0,0,BB10)</f>
        <v>4.340277777777778E-3</v>
      </c>
      <c r="BD10" s="11">
        <v>3</v>
      </c>
      <c r="BE10" s="16">
        <f>VLOOKUP(BD10,'Место-баллы'!$A$3:$B$52,2,0)</f>
        <v>90</v>
      </c>
    </row>
    <row r="11" spans="2:57" ht="18.75" customHeight="1" x14ac:dyDescent="0.25"/>
    <row r="12" spans="2:57" ht="18.75" customHeight="1" x14ac:dyDescent="0.25"/>
    <row r="13" spans="2:57" ht="18.75" customHeight="1" x14ac:dyDescent="0.25"/>
    <row r="14" spans="2:57" ht="18.75" customHeight="1" x14ac:dyDescent="0.25"/>
    <row r="15" spans="2:57" ht="18.75" customHeight="1" x14ac:dyDescent="0.25"/>
    <row r="16" spans="2:57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8.75" customHeight="1" x14ac:dyDescent="0.25"/>
    <row r="27" ht="18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</sheetData>
  <autoFilter ref="B7:BE7" xr:uid="{00000000-0001-0000-0100-000000000000}">
    <sortState xmlns:xlrd2="http://schemas.microsoft.com/office/spreadsheetml/2017/richdata2" ref="B8:BE10">
      <sortCondition ref="BD7"/>
    </sortState>
  </autoFilter>
  <mergeCells count="8">
    <mergeCell ref="B5:C6"/>
    <mergeCell ref="E5:E6"/>
    <mergeCell ref="G5:N6"/>
    <mergeCell ref="AU5:BE6"/>
    <mergeCell ref="AL5:AS6"/>
    <mergeCell ref="P5:R6"/>
    <mergeCell ref="T5:AA6"/>
    <mergeCell ref="AC5:AJ6"/>
  </mergeCells>
  <printOptions horizontalCentered="1" verticalCentered="1"/>
  <pageMargins left="0" right="0" top="0" bottom="0" header="0" footer="0"/>
  <pageSetup paperSize="9" scale="63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BE15"/>
  <sheetViews>
    <sheetView zoomScaleNormal="100" workbookViewId="0">
      <pane xSplit="5" ySplit="7" topLeftCell="Q8" activePane="bottomRight" state="frozen"/>
      <selection pane="topRight" activeCell="F1" sqref="F1"/>
      <selection pane="bottomLeft" activeCell="A8" sqref="A8"/>
      <selection pane="bottomRight" activeCell="BA9" sqref="BA9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8.5703125" bestFit="1" customWidth="1"/>
    <col min="6" max="6" width="1.42578125" customWidth="1"/>
    <col min="7" max="7" width="5.140625" hidden="1" customWidth="1" outlineLevel="1"/>
    <col min="8" max="8" width="4.28515625" hidden="1" customWidth="1" outlineLevel="1"/>
    <col min="9" max="9" width="7.140625" customWidth="1" collapsed="1"/>
    <col min="10" max="10" width="6.85546875" customWidth="1"/>
    <col min="11" max="11" width="7.85546875" hidden="1" customWidth="1" outlineLevel="1"/>
    <col min="12" max="12" width="7.140625" hidden="1" customWidth="1" outlineLevel="1"/>
    <col min="13" max="13" width="7.140625" customWidth="1" collapsed="1"/>
    <col min="14" max="14" width="6.85546875" customWidth="1"/>
    <col min="15" max="15" width="1.42578125" customWidth="1"/>
    <col min="16" max="16" width="5.5703125" customWidth="1"/>
    <col min="17" max="17" width="7.140625" customWidth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9.140625" bestFit="1" customWidth="1" collapsed="1"/>
    <col min="50" max="50" width="5.140625" hidden="1" customWidth="1" outlineLevel="1"/>
    <col min="51" max="51" width="4.28515625" hidden="1" customWidth="1" outlineLevel="1"/>
    <col min="52" max="52" width="7.140625" customWidth="1" collapsed="1"/>
    <col min="53" max="53" width="6.85546875" customWidth="1"/>
    <col min="54" max="54" width="7.85546875" hidden="1" customWidth="1" outlineLevel="1"/>
    <col min="55" max="55" width="7.140625" hidden="1" customWidth="1" outlineLevel="1"/>
    <col min="56" max="56" width="7.140625" customWidth="1" collapsed="1"/>
    <col min="57" max="57" width="6.85546875" customWidth="1"/>
  </cols>
  <sheetData>
    <row r="1" spans="2:57" x14ac:dyDescent="0.25">
      <c r="B1" s="15"/>
      <c r="C1" s="15"/>
      <c r="D1" s="15"/>
      <c r="E1" s="8"/>
      <c r="F1" s="15"/>
      <c r="G1" s="3"/>
      <c r="H1" s="3"/>
      <c r="I1" s="3"/>
      <c r="J1" s="3"/>
      <c r="K1" s="3"/>
      <c r="L1" s="3"/>
      <c r="M1" s="3"/>
      <c r="N1" s="10">
        <v>1</v>
      </c>
      <c r="O1" s="15"/>
      <c r="P1" s="19"/>
      <c r="Q1" s="19"/>
      <c r="R1" s="2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X1" s="3"/>
      <c r="AY1" s="3"/>
      <c r="AZ1" s="3"/>
      <c r="BA1" s="3"/>
      <c r="BB1" s="3"/>
      <c r="BC1" s="3"/>
      <c r="BD1" s="3"/>
      <c r="BE1" s="10">
        <v>1</v>
      </c>
    </row>
    <row r="2" spans="2:57" x14ac:dyDescent="0.25">
      <c r="B2" s="15"/>
      <c r="C2" s="15"/>
      <c r="D2" s="15"/>
      <c r="E2" s="8"/>
      <c r="F2" s="15"/>
      <c r="G2" s="3"/>
      <c r="H2" s="3"/>
      <c r="I2" s="3"/>
      <c r="J2" s="21">
        <f>4*20</f>
        <v>80</v>
      </c>
      <c r="K2" s="3"/>
      <c r="L2" s="3"/>
      <c r="M2" s="3"/>
      <c r="N2" s="3"/>
      <c r="O2" s="15"/>
      <c r="P2" s="19"/>
      <c r="Q2" s="19"/>
      <c r="R2" s="19"/>
      <c r="T2" s="3"/>
      <c r="U2" s="3"/>
      <c r="V2" s="3"/>
      <c r="W2" s="21">
        <f>3*(3+10+1)</f>
        <v>42</v>
      </c>
      <c r="X2" s="3"/>
      <c r="Y2" s="3"/>
      <c r="Z2" s="3"/>
      <c r="AA2" s="3"/>
      <c r="AC2" s="3"/>
      <c r="AD2" s="3"/>
      <c r="AE2" s="3"/>
      <c r="AF2" s="21">
        <v>700</v>
      </c>
      <c r="AG2" s="3"/>
      <c r="AH2" s="3"/>
      <c r="AI2" s="3"/>
      <c r="AJ2" s="3"/>
      <c r="AL2" s="3"/>
      <c r="AM2" s="3"/>
      <c r="AN2" s="3"/>
      <c r="AO2" s="21">
        <v>140</v>
      </c>
      <c r="AP2" s="3"/>
      <c r="AQ2" s="3"/>
      <c r="AR2" s="3"/>
      <c r="AS2" s="3"/>
      <c r="AX2" s="3"/>
      <c r="AY2" s="3"/>
      <c r="AZ2" s="3"/>
      <c r="BA2" s="21">
        <f>20+20+15+15+5+5</f>
        <v>80</v>
      </c>
      <c r="BB2" s="3"/>
      <c r="BC2" s="3"/>
      <c r="BD2" s="3"/>
      <c r="BE2" s="3"/>
    </row>
    <row r="3" spans="2:57" x14ac:dyDescent="0.25">
      <c r="B3" s="15"/>
      <c r="C3" s="15"/>
      <c r="D3" s="15"/>
      <c r="E3" s="8"/>
      <c r="F3" s="15"/>
      <c r="G3" s="3"/>
      <c r="H3" s="3"/>
      <c r="I3" s="3"/>
      <c r="J3" s="4" t="s">
        <v>18</v>
      </c>
      <c r="K3" s="3"/>
      <c r="L3" s="3"/>
      <c r="M3" s="3"/>
      <c r="N3" s="3"/>
      <c r="O3" s="15"/>
      <c r="P3" s="19"/>
      <c r="Q3" s="19"/>
      <c r="R3" s="19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X3" s="3"/>
      <c r="AY3" s="3"/>
      <c r="AZ3" s="3"/>
      <c r="BA3" s="4" t="s">
        <v>18</v>
      </c>
      <c r="BB3" s="3"/>
      <c r="BC3" s="3"/>
      <c r="BD3" s="3"/>
      <c r="BE3" s="3"/>
    </row>
    <row r="4" spans="2:57" x14ac:dyDescent="0.25">
      <c r="B4" s="15"/>
      <c r="C4" s="15"/>
      <c r="D4" s="15"/>
      <c r="F4" s="15"/>
      <c r="G4" s="3"/>
      <c r="H4" s="3"/>
      <c r="I4" s="3"/>
      <c r="J4" s="3"/>
      <c r="K4" s="3"/>
      <c r="L4" s="3"/>
      <c r="M4" s="3"/>
      <c r="N4" s="3"/>
      <c r="O4" s="15"/>
      <c r="P4" s="19"/>
      <c r="Q4" s="19"/>
      <c r="R4" s="19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X4" s="3"/>
      <c r="AY4" s="3"/>
      <c r="AZ4" s="3"/>
      <c r="BA4" s="3"/>
      <c r="BB4" s="3"/>
      <c r="BC4" s="3"/>
      <c r="BD4" s="3"/>
      <c r="BE4" s="3"/>
    </row>
    <row r="5" spans="2:57" ht="15" customHeight="1" x14ac:dyDescent="0.25">
      <c r="B5" s="31" t="s">
        <v>4</v>
      </c>
      <c r="C5" s="32"/>
      <c r="D5" s="16"/>
      <c r="E5" s="35" t="s">
        <v>26</v>
      </c>
      <c r="F5" s="16"/>
      <c r="G5" s="35" t="s">
        <v>19</v>
      </c>
      <c r="H5" s="36"/>
      <c r="I5" s="36"/>
      <c r="J5" s="36"/>
      <c r="K5" s="36"/>
      <c r="L5" s="36"/>
      <c r="M5" s="36"/>
      <c r="N5" s="36"/>
      <c r="O5" s="23"/>
      <c r="P5" s="31" t="s">
        <v>20</v>
      </c>
      <c r="Q5" s="43"/>
      <c r="R5" s="32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7" t="s">
        <v>6</v>
      </c>
      <c r="AV5" s="38"/>
      <c r="AW5" s="38"/>
      <c r="AX5" s="38"/>
      <c r="AY5" s="38"/>
      <c r="AZ5" s="38"/>
      <c r="BA5" s="38"/>
      <c r="BB5" s="38"/>
      <c r="BC5" s="38"/>
      <c r="BD5" s="38"/>
      <c r="BE5" s="39"/>
    </row>
    <row r="6" spans="2:57" x14ac:dyDescent="0.25">
      <c r="B6" s="33"/>
      <c r="C6" s="34"/>
      <c r="D6" s="17"/>
      <c r="E6" s="36"/>
      <c r="F6" s="17"/>
      <c r="G6" s="36"/>
      <c r="H6" s="36"/>
      <c r="I6" s="36"/>
      <c r="J6" s="36"/>
      <c r="K6" s="36"/>
      <c r="L6" s="36"/>
      <c r="M6" s="36"/>
      <c r="N6" s="36"/>
      <c r="O6" s="24"/>
      <c r="P6" s="33"/>
      <c r="Q6" s="44"/>
      <c r="R6" s="34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40"/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7" spans="2:57" ht="25.5" x14ac:dyDescent="0.25">
      <c r="B7" s="25" t="s">
        <v>7</v>
      </c>
      <c r="C7" s="25" t="s">
        <v>8</v>
      </c>
      <c r="D7" s="18"/>
      <c r="E7" s="26" t="s">
        <v>9</v>
      </c>
      <c r="F7" s="18"/>
      <c r="G7" s="7" t="s">
        <v>10</v>
      </c>
      <c r="H7" s="7" t="s">
        <v>11</v>
      </c>
      <c r="I7" s="7" t="s">
        <v>12</v>
      </c>
      <c r="J7" s="27" t="s">
        <v>15</v>
      </c>
      <c r="K7" s="7" t="s">
        <v>16</v>
      </c>
      <c r="L7" s="7" t="s">
        <v>12</v>
      </c>
      <c r="M7" s="7" t="s">
        <v>13</v>
      </c>
      <c r="N7" s="7" t="s">
        <v>14</v>
      </c>
      <c r="O7" s="18"/>
      <c r="P7" s="28" t="s">
        <v>17</v>
      </c>
      <c r="Q7" s="28" t="s">
        <v>13</v>
      </c>
      <c r="R7" s="28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36</v>
      </c>
      <c r="AX7" s="7" t="s">
        <v>10</v>
      </c>
      <c r="AY7" s="7" t="s">
        <v>11</v>
      </c>
      <c r="AZ7" s="7" t="s">
        <v>12</v>
      </c>
      <c r="BA7" s="27" t="s">
        <v>15</v>
      </c>
      <c r="BB7" s="7" t="s">
        <v>16</v>
      </c>
      <c r="BC7" s="7" t="s">
        <v>12</v>
      </c>
      <c r="BD7" s="7" t="s">
        <v>13</v>
      </c>
      <c r="BE7" s="7" t="s">
        <v>14</v>
      </c>
    </row>
    <row r="8" spans="2:57" x14ac:dyDescent="0.25">
      <c r="B8" s="16">
        <f>RANK(C8,C$8:C$12,0)</f>
        <v>1</v>
      </c>
      <c r="C8" s="16">
        <f>SUMIF($G$1:$BE$1,1,$G8:$BE8)</f>
        <v>565</v>
      </c>
      <c r="D8" s="14"/>
      <c r="E8" s="9" t="s">
        <v>41</v>
      </c>
      <c r="F8" s="14"/>
      <c r="G8" s="11">
        <v>4</v>
      </c>
      <c r="H8" s="11">
        <v>48</v>
      </c>
      <c r="I8" s="13">
        <f>TIME(0,G8,H8)</f>
        <v>3.3333333333333335E-3</v>
      </c>
      <c r="J8" s="11">
        <v>80</v>
      </c>
      <c r="K8" s="11">
        <f>J$2-J8</f>
        <v>0</v>
      </c>
      <c r="L8" s="13">
        <f>I8+TIME(0,0,K8)</f>
        <v>3.3333333333333335E-3</v>
      </c>
      <c r="M8" s="11">
        <f>RANK(L8,L$8:L$12,1)</f>
        <v>1</v>
      </c>
      <c r="N8" s="16">
        <f>VLOOKUP(M8,'Место-баллы'!$A$3:$B$52,2,0)</f>
        <v>100</v>
      </c>
      <c r="O8" s="14"/>
      <c r="P8" s="16">
        <v>60</v>
      </c>
      <c r="Q8" s="16">
        <f>RANK(P8,P$8:P$12,0)</f>
        <v>4</v>
      </c>
      <c r="R8" s="16">
        <f>VLOOKUP(Q8,'Место-баллы'!$A$3:$B$52,2,0)</f>
        <v>85</v>
      </c>
      <c r="S8" s="12"/>
      <c r="T8" s="11">
        <v>5</v>
      </c>
      <c r="U8" s="11">
        <v>55</v>
      </c>
      <c r="V8" s="13">
        <f>TIME(0,T8,U8)</f>
        <v>4.108796296296297E-3</v>
      </c>
      <c r="W8" s="11">
        <v>42</v>
      </c>
      <c r="X8" s="11">
        <f>W$2-W8</f>
        <v>0</v>
      </c>
      <c r="Y8" s="13">
        <f>V8+TIME(0,0,X8)</f>
        <v>4.108796296296297E-3</v>
      </c>
      <c r="Z8" s="11">
        <f>RANK(Y8,Y$8:Y$12,1)</f>
        <v>2</v>
      </c>
      <c r="AA8" s="16">
        <f>VLOOKUP(Z8,'Место-баллы'!$A$3:$B$52,2,0)</f>
        <v>95</v>
      </c>
      <c r="AB8" s="12"/>
      <c r="AC8" s="11">
        <v>3</v>
      </c>
      <c r="AD8" s="11">
        <v>32</v>
      </c>
      <c r="AE8" s="13">
        <f>TIME(0,AC8,AD8)</f>
        <v>2.4537037037037036E-3</v>
      </c>
      <c r="AF8" s="11">
        <v>700</v>
      </c>
      <c r="AG8" s="11">
        <f>AF$2-AF8</f>
        <v>0</v>
      </c>
      <c r="AH8" s="13">
        <f>AE8+TIME(0,0,AG8)</f>
        <v>2.4537037037037036E-3</v>
      </c>
      <c r="AI8" s="11">
        <f>RANK(AH8,AH$8:AH$12,1)</f>
        <v>1</v>
      </c>
      <c r="AJ8" s="16">
        <f>VLOOKUP(AI8,'Место-баллы'!$A$3:$B$52,2,0)</f>
        <v>100</v>
      </c>
      <c r="AK8" s="12"/>
      <c r="AL8" s="11">
        <v>8</v>
      </c>
      <c r="AM8" s="11">
        <v>17</v>
      </c>
      <c r="AN8" s="13">
        <f>TIME(0,AL8,AM8)</f>
        <v>5.7523148148148143E-3</v>
      </c>
      <c r="AO8" s="11">
        <v>140</v>
      </c>
      <c r="AP8" s="11">
        <f>AO$2-AO8</f>
        <v>0</v>
      </c>
      <c r="AQ8" s="13">
        <f>AN8+TIME(0,0,AP8)</f>
        <v>5.7523148148148143E-3</v>
      </c>
      <c r="AR8" s="11">
        <f>RANK(AQ8,AQ$8:AQ$12,1)</f>
        <v>1</v>
      </c>
      <c r="AS8" s="16">
        <f>VLOOKUP(AR8,'Место-баллы'!$A$3:$B$52,2,0)</f>
        <v>100</v>
      </c>
      <c r="AT8" s="12"/>
      <c r="AU8" s="11"/>
      <c r="AV8" s="11"/>
      <c r="AW8" s="13"/>
      <c r="AX8" s="11">
        <v>6</v>
      </c>
      <c r="AY8" s="11">
        <v>5</v>
      </c>
      <c r="AZ8" s="13">
        <f>TIME(0,AX8,AY8)</f>
        <v>4.2245370370370371E-3</v>
      </c>
      <c r="BA8" s="11">
        <v>20</v>
      </c>
      <c r="BB8" s="11">
        <f>BA$2-BA8</f>
        <v>60</v>
      </c>
      <c r="BC8" s="13">
        <f>AZ8+TIME(0,0,BB8)</f>
        <v>4.9189814814814816E-3</v>
      </c>
      <c r="BD8" s="11">
        <f>RANK(BC8,BC$8:BC$12,1)</f>
        <v>4</v>
      </c>
      <c r="BE8" s="16">
        <f>VLOOKUP(BD8,'Место-баллы'!$A$3:$B$52,2,0)</f>
        <v>85</v>
      </c>
    </row>
    <row r="9" spans="2:57" x14ac:dyDescent="0.25">
      <c r="B9" s="16">
        <f>RANK(C9,C$8:C$12,0)</f>
        <v>2</v>
      </c>
      <c r="C9" s="16">
        <f>SUMIF($G$1:$BE$1,1,$G9:$BE9)</f>
        <v>560</v>
      </c>
      <c r="D9" s="14"/>
      <c r="E9" s="9" t="s">
        <v>40</v>
      </c>
      <c r="F9" s="14"/>
      <c r="G9" s="11">
        <v>6</v>
      </c>
      <c r="H9" s="11">
        <v>5</v>
      </c>
      <c r="I9" s="13">
        <f>TIME(0,G9,H9)</f>
        <v>4.2245370370370371E-3</v>
      </c>
      <c r="J9" s="11">
        <v>62</v>
      </c>
      <c r="K9" s="11">
        <f>J$2-J9</f>
        <v>18</v>
      </c>
      <c r="L9" s="13">
        <f>I9+TIME(0,0,K9)</f>
        <v>4.43287037037037E-3</v>
      </c>
      <c r="M9" s="11">
        <f>RANK(L9,L$8:L$12,1)</f>
        <v>5</v>
      </c>
      <c r="N9" s="16">
        <f>VLOOKUP(M9,'Место-баллы'!$A$3:$B$52,2,0)</f>
        <v>80</v>
      </c>
      <c r="O9" s="14"/>
      <c r="P9" s="16">
        <v>77</v>
      </c>
      <c r="Q9" s="16">
        <f>RANK(P9,P$8:P$12,0)</f>
        <v>2</v>
      </c>
      <c r="R9" s="16">
        <f>VLOOKUP(Q9,'Место-баллы'!$A$3:$B$52,2,0)</f>
        <v>95</v>
      </c>
      <c r="S9" s="12"/>
      <c r="T9" s="11">
        <v>5</v>
      </c>
      <c r="U9" s="11">
        <v>53</v>
      </c>
      <c r="V9" s="13">
        <f>TIME(0,T9,U9)</f>
        <v>4.0856481481481481E-3</v>
      </c>
      <c r="W9" s="11">
        <v>42</v>
      </c>
      <c r="X9" s="11">
        <f>W$2-W9</f>
        <v>0</v>
      </c>
      <c r="Y9" s="13">
        <f>V9+TIME(0,0,X9)</f>
        <v>4.0856481481481481E-3</v>
      </c>
      <c r="Z9" s="11">
        <f>RANK(Y9,Y$8:Y$12,1)</f>
        <v>1</v>
      </c>
      <c r="AA9" s="16">
        <f>VLOOKUP(Z9,'Место-баллы'!$A$3:$B$52,2,0)</f>
        <v>100</v>
      </c>
      <c r="AB9" s="12"/>
      <c r="AC9" s="11">
        <v>3</v>
      </c>
      <c r="AD9" s="11">
        <v>40</v>
      </c>
      <c r="AE9" s="13">
        <f>TIME(0,AC9,AD9)</f>
        <v>2.5462962962962961E-3</v>
      </c>
      <c r="AF9" s="11">
        <v>700</v>
      </c>
      <c r="AG9" s="11">
        <f>AF$2-AF9</f>
        <v>0</v>
      </c>
      <c r="AH9" s="13">
        <f>AE9+TIME(0,0,AG9)</f>
        <v>2.5462962962962961E-3</v>
      </c>
      <c r="AI9" s="11">
        <f>RANK(AH9,AH$8:AH$12,1)</f>
        <v>2</v>
      </c>
      <c r="AJ9" s="16">
        <f>VLOOKUP(AI9,'Место-баллы'!$A$3:$B$52,2,0)</f>
        <v>95</v>
      </c>
      <c r="AK9" s="12"/>
      <c r="AL9" s="11">
        <v>8</v>
      </c>
      <c r="AM9" s="11">
        <v>23</v>
      </c>
      <c r="AN9" s="13">
        <f>TIME(0,AL9,AM9)</f>
        <v>5.8217592592592592E-3</v>
      </c>
      <c r="AO9" s="11">
        <v>140</v>
      </c>
      <c r="AP9" s="11">
        <f>AO$2-AO9</f>
        <v>0</v>
      </c>
      <c r="AQ9" s="13">
        <f>AN9+TIME(0,0,AP9)</f>
        <v>5.8217592592592592E-3</v>
      </c>
      <c r="AR9" s="11">
        <f>RANK(AQ9,AQ$8:AQ$12,1)</f>
        <v>2</v>
      </c>
      <c r="AS9" s="16">
        <f>VLOOKUP(AR9,'Место-баллы'!$A$3:$B$52,2,0)</f>
        <v>95</v>
      </c>
      <c r="AT9" s="12"/>
      <c r="AU9" s="11">
        <v>3</v>
      </c>
      <c r="AV9" s="11">
        <v>38</v>
      </c>
      <c r="AW9" s="13">
        <f>TIME(0,AU9,AV9)</f>
        <v>2.5231481481481481E-3</v>
      </c>
      <c r="AX9" s="11">
        <v>6</v>
      </c>
      <c r="AY9" s="11">
        <v>5</v>
      </c>
      <c r="AZ9" s="13">
        <f>TIME(0,AX9,AY9)</f>
        <v>4.2245370370370371E-3</v>
      </c>
      <c r="BA9" s="11">
        <v>70</v>
      </c>
      <c r="BB9" s="11">
        <f>BA$2-BA9</f>
        <v>10</v>
      </c>
      <c r="BC9" s="13">
        <f>AZ9+TIME(0,0,BB9)</f>
        <v>4.340277777777778E-3</v>
      </c>
      <c r="BD9" s="11">
        <f>RANK(BC9,BC$8:BC$12,1)</f>
        <v>2</v>
      </c>
      <c r="BE9" s="16">
        <f>VLOOKUP(BD9,'Место-баллы'!$A$3:$B$52,2,0)</f>
        <v>95</v>
      </c>
    </row>
    <row r="10" spans="2:57" x14ac:dyDescent="0.25">
      <c r="B10" s="16">
        <f>RANK(C10,C$8:C$12,0)</f>
        <v>3</v>
      </c>
      <c r="C10" s="16">
        <f>SUMIF($G$1:$BE$1,1,$G10:$BE10)</f>
        <v>545</v>
      </c>
      <c r="D10" s="14"/>
      <c r="E10" s="9" t="s">
        <v>38</v>
      </c>
      <c r="F10" s="14"/>
      <c r="G10" s="11">
        <v>5</v>
      </c>
      <c r="H10" s="11">
        <v>24</v>
      </c>
      <c r="I10" s="13">
        <f>TIME(0,G10,H10)</f>
        <v>3.7500000000000003E-3</v>
      </c>
      <c r="J10" s="11">
        <v>80</v>
      </c>
      <c r="K10" s="11">
        <f>J$2-J10</f>
        <v>0</v>
      </c>
      <c r="L10" s="13">
        <f>I10+TIME(0,0,K10)</f>
        <v>3.7500000000000003E-3</v>
      </c>
      <c r="M10" s="11">
        <f>RANK(L10,L$8:L$12,1)</f>
        <v>2</v>
      </c>
      <c r="N10" s="16">
        <f>VLOOKUP(M10,'Место-баллы'!$A$3:$B$52,2,0)</f>
        <v>95</v>
      </c>
      <c r="O10" s="14"/>
      <c r="P10" s="16">
        <v>60</v>
      </c>
      <c r="Q10" s="16">
        <f>RANK(P10,P$8:P$12,0)</f>
        <v>4</v>
      </c>
      <c r="R10" s="16">
        <f>VLOOKUP(Q10,'Место-баллы'!$A$3:$B$52,2,0)</f>
        <v>85</v>
      </c>
      <c r="S10" s="12"/>
      <c r="T10" s="11">
        <v>5</v>
      </c>
      <c r="U10" s="11">
        <v>59</v>
      </c>
      <c r="V10" s="13">
        <f>TIME(0,T10,U10)</f>
        <v>4.155092592592593E-3</v>
      </c>
      <c r="W10" s="11">
        <v>42</v>
      </c>
      <c r="X10" s="11">
        <f>W$2-W10</f>
        <v>0</v>
      </c>
      <c r="Y10" s="13">
        <f>V10+TIME(0,0,X10)</f>
        <v>4.155092592592593E-3</v>
      </c>
      <c r="Z10" s="11">
        <f>RANK(Y10,Y$8:Y$12,1)</f>
        <v>3</v>
      </c>
      <c r="AA10" s="16">
        <f>VLOOKUP(Z10,'Место-баллы'!$A$3:$B$52,2,0)</f>
        <v>90</v>
      </c>
      <c r="AB10" s="12"/>
      <c r="AC10" s="11">
        <v>4</v>
      </c>
      <c r="AD10" s="11">
        <v>32</v>
      </c>
      <c r="AE10" s="13">
        <f>TIME(0,AC10,AD10)</f>
        <v>3.1481481481481482E-3</v>
      </c>
      <c r="AF10" s="11">
        <v>700</v>
      </c>
      <c r="AG10" s="11">
        <f>AF$2-AF10</f>
        <v>0</v>
      </c>
      <c r="AH10" s="13">
        <f>AE10+TIME(0,0,AG10)</f>
        <v>3.1481481481481482E-3</v>
      </c>
      <c r="AI10" s="11">
        <f>RANK(AH10,AH$8:AH$12,1)</f>
        <v>3</v>
      </c>
      <c r="AJ10" s="16">
        <f>VLOOKUP(AI10,'Место-баллы'!$A$3:$B$52,2,0)</f>
        <v>90</v>
      </c>
      <c r="AK10" s="12"/>
      <c r="AL10" s="11">
        <v>10</v>
      </c>
      <c r="AM10" s="11">
        <v>31</v>
      </c>
      <c r="AN10" s="13">
        <f>TIME(0,AL10,AM10)</f>
        <v>7.3032407407407412E-3</v>
      </c>
      <c r="AO10" s="11">
        <v>140</v>
      </c>
      <c r="AP10" s="11">
        <f>AO$2-AO10</f>
        <v>0</v>
      </c>
      <c r="AQ10" s="13">
        <f>AN10+TIME(0,0,AP10)</f>
        <v>7.3032407407407412E-3</v>
      </c>
      <c r="AR10" s="11">
        <f>RANK(AQ10,AQ$8:AQ$12,1)</f>
        <v>4</v>
      </c>
      <c r="AS10" s="16">
        <f>VLOOKUP(AR10,'Место-баллы'!$A$3:$B$52,2,0)</f>
        <v>85</v>
      </c>
      <c r="AT10" s="12"/>
      <c r="AU10" s="11">
        <v>3</v>
      </c>
      <c r="AV10" s="11">
        <v>13</v>
      </c>
      <c r="AW10" s="13">
        <f>TIME(0,AU10,AV10)</f>
        <v>2.2337962962962967E-3</v>
      </c>
      <c r="AX10" s="11">
        <v>5</v>
      </c>
      <c r="AY10" s="11">
        <v>19</v>
      </c>
      <c r="AZ10" s="13">
        <f>TIME(0,AX10,AY10)</f>
        <v>3.6921296296296298E-3</v>
      </c>
      <c r="BA10" s="11">
        <v>80</v>
      </c>
      <c r="BB10" s="11">
        <f>BA$2-BA10</f>
        <v>0</v>
      </c>
      <c r="BC10" s="13">
        <f>AZ10+TIME(0,0,BB10)</f>
        <v>3.6921296296296298E-3</v>
      </c>
      <c r="BD10" s="11">
        <f>RANK(BC10,BC$8:BC$12,1)</f>
        <v>1</v>
      </c>
      <c r="BE10" s="16">
        <f>VLOOKUP(BD10,'Место-баллы'!$A$3:$B$52,2,0)</f>
        <v>100</v>
      </c>
    </row>
    <row r="11" spans="2:57" x14ac:dyDescent="0.25">
      <c r="B11" s="16">
        <f>RANK(C11,C$8:C$12,0)</f>
        <v>4</v>
      </c>
      <c r="C11" s="16">
        <f>SUMIF($G$1:$BE$1,1,$G11:$BE11)</f>
        <v>530</v>
      </c>
      <c r="D11" s="14"/>
      <c r="E11" s="9" t="s">
        <v>37</v>
      </c>
      <c r="F11" s="14"/>
      <c r="G11" s="11">
        <v>6</v>
      </c>
      <c r="H11" s="11">
        <v>5</v>
      </c>
      <c r="I11" s="13">
        <f>TIME(0,G11,H11)</f>
        <v>4.2245370370370371E-3</v>
      </c>
      <c r="J11" s="11">
        <v>68</v>
      </c>
      <c r="K11" s="11">
        <f>J$2-J11</f>
        <v>12</v>
      </c>
      <c r="L11" s="13">
        <f>I11+TIME(0,0,K11)</f>
        <v>4.363425925925926E-3</v>
      </c>
      <c r="M11" s="11">
        <f>RANK(L11,L$8:L$12,1)</f>
        <v>4</v>
      </c>
      <c r="N11" s="16">
        <f>VLOOKUP(M11,'Место-баллы'!$A$3:$B$52,2,0)</f>
        <v>85</v>
      </c>
      <c r="O11" s="14"/>
      <c r="P11" s="16">
        <v>85</v>
      </c>
      <c r="Q11" s="16">
        <f>RANK(P11,P$8:P$12,0)</f>
        <v>1</v>
      </c>
      <c r="R11" s="16">
        <f>VLOOKUP(Q11,'Место-баллы'!$A$3:$B$52,2,0)</f>
        <v>100</v>
      </c>
      <c r="S11" s="12"/>
      <c r="T11" s="11">
        <v>9</v>
      </c>
      <c r="U11" s="11">
        <v>5</v>
      </c>
      <c r="V11" s="13">
        <f>TIME(0,T11,U11)</f>
        <v>6.3078703703703708E-3</v>
      </c>
      <c r="W11" s="11">
        <v>2</v>
      </c>
      <c r="X11" s="11">
        <f>W$2-W11</f>
        <v>40</v>
      </c>
      <c r="Y11" s="13">
        <f>V11+TIME(0,0,X11)</f>
        <v>6.7708333333333336E-3</v>
      </c>
      <c r="Z11" s="11">
        <f>RANK(Y11,Y$8:Y$12,1)</f>
        <v>5</v>
      </c>
      <c r="AA11" s="16">
        <f>VLOOKUP(Z11,'Место-баллы'!$A$3:$B$52,2,0)</f>
        <v>80</v>
      </c>
      <c r="AB11" s="12"/>
      <c r="AC11" s="11">
        <v>4</v>
      </c>
      <c r="AD11" s="11">
        <v>38</v>
      </c>
      <c r="AE11" s="13">
        <f>TIME(0,AC11,AD11)</f>
        <v>3.2175925925925926E-3</v>
      </c>
      <c r="AF11" s="11">
        <v>700</v>
      </c>
      <c r="AG11" s="11">
        <f>AF$2-AF11</f>
        <v>0</v>
      </c>
      <c r="AH11" s="13">
        <f>AE11+TIME(0,0,AG11)</f>
        <v>3.2175925925925926E-3</v>
      </c>
      <c r="AI11" s="11">
        <f>RANK(AH11,AH$8:AH$12,1)</f>
        <v>4</v>
      </c>
      <c r="AJ11" s="16">
        <f>VLOOKUP(AI11,'Место-баллы'!$A$3:$B$52,2,0)</f>
        <v>85</v>
      </c>
      <c r="AK11" s="12"/>
      <c r="AL11" s="11">
        <v>10</v>
      </c>
      <c r="AM11" s="11">
        <v>17</v>
      </c>
      <c r="AN11" s="13">
        <f>TIME(0,AL11,AM11)</f>
        <v>7.1412037037037043E-3</v>
      </c>
      <c r="AO11" s="11">
        <v>140</v>
      </c>
      <c r="AP11" s="11">
        <f>AO$2-AO11</f>
        <v>0</v>
      </c>
      <c r="AQ11" s="13">
        <f>AN11+TIME(0,0,AP11)</f>
        <v>7.1412037037037043E-3</v>
      </c>
      <c r="AR11" s="11">
        <f>RANK(AQ11,AQ$8:AQ$12,1)</f>
        <v>3</v>
      </c>
      <c r="AS11" s="16">
        <f>VLOOKUP(AR11,'Место-баллы'!$A$3:$B$52,2,0)</f>
        <v>90</v>
      </c>
      <c r="AT11" s="12"/>
      <c r="AU11" s="11">
        <v>4</v>
      </c>
      <c r="AV11" s="11">
        <v>55</v>
      </c>
      <c r="AW11" s="13">
        <f>TIME(0,AU11,AV11)</f>
        <v>3.414351851851852E-3</v>
      </c>
      <c r="AX11" s="11">
        <v>6</v>
      </c>
      <c r="AY11" s="11">
        <v>5</v>
      </c>
      <c r="AZ11" s="13">
        <f>TIME(0,AX11,AY11)</f>
        <v>4.2245370370370371E-3</v>
      </c>
      <c r="BA11" s="11">
        <v>70</v>
      </c>
      <c r="BB11" s="11">
        <f>BA$2-BA11</f>
        <v>10</v>
      </c>
      <c r="BC11" s="13">
        <f>AZ11+TIME(0,0,BB11)</f>
        <v>4.340277777777778E-3</v>
      </c>
      <c r="BD11" s="11">
        <v>3</v>
      </c>
      <c r="BE11" s="16">
        <f>VLOOKUP(BD11,'Место-баллы'!$A$3:$B$52,2,0)</f>
        <v>90</v>
      </c>
    </row>
    <row r="12" spans="2:57" x14ac:dyDescent="0.25">
      <c r="B12" s="16">
        <f>RANK(C12,C$8:C$12,0)</f>
        <v>5</v>
      </c>
      <c r="C12" s="16">
        <f>SUMIF($G$1:$BE$1,1,$G12:$BE12)</f>
        <v>265</v>
      </c>
      <c r="D12" s="14"/>
      <c r="E12" s="9" t="s">
        <v>39</v>
      </c>
      <c r="F12" s="14"/>
      <c r="G12" s="11">
        <v>5</v>
      </c>
      <c r="H12" s="11">
        <v>31</v>
      </c>
      <c r="I12" s="13">
        <f>TIME(0,G12,H12)</f>
        <v>3.8310185185185183E-3</v>
      </c>
      <c r="J12" s="11">
        <v>80</v>
      </c>
      <c r="K12" s="11">
        <f>J$2-J12</f>
        <v>0</v>
      </c>
      <c r="L12" s="13">
        <f>I12+TIME(0,0,K12)</f>
        <v>3.8310185185185183E-3</v>
      </c>
      <c r="M12" s="11">
        <f>RANK(L12,L$8:L$12,1)</f>
        <v>3</v>
      </c>
      <c r="N12" s="16">
        <f>VLOOKUP(M12,'Место-баллы'!$A$3:$B$52,2,0)</f>
        <v>90</v>
      </c>
      <c r="O12" s="14"/>
      <c r="P12" s="16">
        <v>67</v>
      </c>
      <c r="Q12" s="16">
        <f>RANK(P12,P$8:P$12,0)</f>
        <v>3</v>
      </c>
      <c r="R12" s="16">
        <f>VLOOKUP(Q12,'Место-баллы'!$A$3:$B$52,2,0)</f>
        <v>90</v>
      </c>
      <c r="S12" s="12"/>
      <c r="T12" s="11">
        <v>6</v>
      </c>
      <c r="U12" s="11">
        <v>13</v>
      </c>
      <c r="V12" s="13">
        <f>TIME(0,T12,U12)</f>
        <v>4.31712962962963E-3</v>
      </c>
      <c r="W12" s="11">
        <v>42</v>
      </c>
      <c r="X12" s="11">
        <f>W$2-W12</f>
        <v>0</v>
      </c>
      <c r="Y12" s="13">
        <f>V12+TIME(0,0,X12)</f>
        <v>4.31712962962963E-3</v>
      </c>
      <c r="Z12" s="11">
        <f>RANK(Y12,Y$8:Y$12,1)</f>
        <v>4</v>
      </c>
      <c r="AA12" s="16">
        <f>VLOOKUP(Z12,'Место-баллы'!$A$3:$B$52,2,0)</f>
        <v>85</v>
      </c>
      <c r="AB12" s="12"/>
      <c r="AC12" s="11">
        <v>12</v>
      </c>
      <c r="AD12" s="11">
        <v>5</v>
      </c>
      <c r="AE12" s="13">
        <f>TIME(0,AC12,AD12)</f>
        <v>8.3912037037037045E-3</v>
      </c>
      <c r="AF12" s="11">
        <v>0</v>
      </c>
      <c r="AG12" s="11">
        <f>AF$2-AF12</f>
        <v>700</v>
      </c>
      <c r="AH12" s="13">
        <f>AE12+TIME(0,0,AG12)</f>
        <v>1.6493055555555556E-2</v>
      </c>
      <c r="AI12" s="11">
        <f>RANK(AH12,AH$8:AH$12,1)</f>
        <v>5</v>
      </c>
      <c r="AJ12" s="16">
        <v>0</v>
      </c>
      <c r="AK12" s="12"/>
      <c r="AL12" s="11">
        <v>12</v>
      </c>
      <c r="AM12" s="11">
        <v>5</v>
      </c>
      <c r="AN12" s="13">
        <f>TIME(0,AL12,AM12)</f>
        <v>8.3912037037037045E-3</v>
      </c>
      <c r="AO12" s="11">
        <v>0</v>
      </c>
      <c r="AP12" s="11">
        <f>AO$2-AO12</f>
        <v>140</v>
      </c>
      <c r="AQ12" s="13">
        <f>AN12+TIME(0,0,AP12)</f>
        <v>1.0011574074074076E-2</v>
      </c>
      <c r="AR12" s="11">
        <f>RANK(AQ12,AQ$8:AQ$12,1)</f>
        <v>5</v>
      </c>
      <c r="AS12" s="16">
        <v>0</v>
      </c>
      <c r="AT12" s="12"/>
      <c r="AU12" s="11"/>
      <c r="AV12" s="11"/>
      <c r="AW12" s="13"/>
      <c r="AX12" s="11">
        <v>6</v>
      </c>
      <c r="AY12" s="11">
        <v>5</v>
      </c>
      <c r="AZ12" s="13">
        <f>TIME(0,AX12,AY12)</f>
        <v>4.2245370370370371E-3</v>
      </c>
      <c r="BA12" s="11">
        <v>0</v>
      </c>
      <c r="BB12" s="11">
        <f>BA$2-BA12</f>
        <v>80</v>
      </c>
      <c r="BC12" s="13">
        <f>AZ12+TIME(0,0,BB12)</f>
        <v>5.1504629629629626E-3</v>
      </c>
      <c r="BD12" s="11">
        <f>RANK(BC12,BC$8:BC$12,1)</f>
        <v>5</v>
      </c>
      <c r="BE12" s="16">
        <v>0</v>
      </c>
    </row>
    <row r="13" spans="2:57" ht="15.75" customHeight="1" x14ac:dyDescent="0.25"/>
    <row r="14" spans="2:57" ht="15.75" customHeight="1" x14ac:dyDescent="0.25"/>
    <row r="15" spans="2:57" ht="15.75" customHeight="1" x14ac:dyDescent="0.25"/>
  </sheetData>
  <autoFilter ref="B7:BE7" xr:uid="{00000000-0001-0000-0200-000000000000}">
    <sortState xmlns:xlrd2="http://schemas.microsoft.com/office/spreadsheetml/2017/richdata2" ref="B8:BE12">
      <sortCondition ref="B7"/>
    </sortState>
  </autoFilter>
  <mergeCells count="8">
    <mergeCell ref="AU5:BE6"/>
    <mergeCell ref="AL5:AS6"/>
    <mergeCell ref="B5:C6"/>
    <mergeCell ref="E5:E6"/>
    <mergeCell ref="G5:N6"/>
    <mergeCell ref="P5:R6"/>
    <mergeCell ref="T5:AA6"/>
    <mergeCell ref="AC5:AJ6"/>
  </mergeCells>
  <printOptions horizontalCentered="1" verticalCentered="1"/>
  <pageMargins left="0" right="0" top="0" bottom="0" header="0" footer="0"/>
  <pageSetup paperSize="9" scale="64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BE46"/>
  <sheetViews>
    <sheetView zoomScaleNormal="100" workbookViewId="0">
      <pane xSplit="5" ySplit="7" topLeftCell="AB8" activePane="bottomRight" state="frozen"/>
      <selection pane="topRight" activeCell="F1" sqref="F1"/>
      <selection pane="bottomLeft" activeCell="A8" sqref="A8"/>
      <selection pane="bottomRight" activeCell="AR13" sqref="AR13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9.85546875" bestFit="1" customWidth="1"/>
    <col min="6" max="6" width="1.42578125" customWidth="1"/>
    <col min="7" max="7" width="5.140625" hidden="1" customWidth="1" outlineLevel="1"/>
    <col min="8" max="8" width="4.28515625" hidden="1" customWidth="1" outlineLevel="1"/>
    <col min="9" max="9" width="7.140625" customWidth="1" collapsed="1"/>
    <col min="10" max="10" width="6.85546875" customWidth="1"/>
    <col min="11" max="11" width="7.85546875" hidden="1" customWidth="1" outlineLevel="1"/>
    <col min="12" max="12" width="7.140625" hidden="1" customWidth="1" outlineLevel="1"/>
    <col min="13" max="13" width="7.140625" customWidth="1" collapsed="1"/>
    <col min="14" max="14" width="6.85546875" customWidth="1"/>
    <col min="15" max="15" width="1.42578125" customWidth="1"/>
    <col min="16" max="16" width="5.5703125" customWidth="1"/>
    <col min="17" max="17" width="7.140625" customWidth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9.140625" bestFit="1" customWidth="1" collapsed="1"/>
    <col min="50" max="50" width="5.140625" hidden="1" customWidth="1" outlineLevel="1"/>
    <col min="51" max="51" width="4.28515625" hidden="1" customWidth="1" outlineLevel="1"/>
    <col min="52" max="52" width="7.140625" customWidth="1" collapsed="1"/>
    <col min="53" max="53" width="6.85546875" customWidth="1"/>
    <col min="54" max="54" width="7.85546875" hidden="1" customWidth="1" outlineLevel="1"/>
    <col min="55" max="55" width="7.140625" hidden="1" customWidth="1" outlineLevel="1"/>
    <col min="56" max="56" width="7.140625" customWidth="1" collapsed="1"/>
    <col min="57" max="57" width="6.85546875" customWidth="1"/>
  </cols>
  <sheetData>
    <row r="1" spans="2:57" x14ac:dyDescent="0.25">
      <c r="B1" s="15"/>
      <c r="C1" s="15"/>
      <c r="D1" s="15"/>
      <c r="E1" s="8"/>
      <c r="F1" s="15"/>
      <c r="G1" s="3"/>
      <c r="H1" s="3"/>
      <c r="I1" s="3"/>
      <c r="J1" s="3"/>
      <c r="K1" s="3"/>
      <c r="L1" s="3"/>
      <c r="M1" s="3"/>
      <c r="N1" s="10">
        <v>1</v>
      </c>
      <c r="O1" s="15"/>
      <c r="P1" s="19"/>
      <c r="Q1" s="19"/>
      <c r="R1" s="2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X1" s="3"/>
      <c r="AY1" s="3"/>
      <c r="AZ1" s="3"/>
      <c r="BA1" s="3"/>
      <c r="BB1" s="3"/>
      <c r="BC1" s="3"/>
      <c r="BD1" s="3"/>
      <c r="BE1" s="10">
        <v>1</v>
      </c>
    </row>
    <row r="2" spans="2:57" x14ac:dyDescent="0.25">
      <c r="B2" s="15"/>
      <c r="C2" s="15"/>
      <c r="D2" s="15"/>
      <c r="E2" s="8"/>
      <c r="F2" s="15"/>
      <c r="G2" s="3"/>
      <c r="H2" s="3"/>
      <c r="I2" s="3"/>
      <c r="J2" s="21">
        <f>3*30</f>
        <v>90</v>
      </c>
      <c r="K2" s="3"/>
      <c r="L2" s="3"/>
      <c r="M2" s="3"/>
      <c r="N2" s="3"/>
      <c r="O2" s="15"/>
      <c r="P2" s="19"/>
      <c r="Q2" s="19"/>
      <c r="R2" s="19"/>
      <c r="T2" s="3"/>
      <c r="U2" s="3"/>
      <c r="V2" s="3"/>
      <c r="W2" s="21">
        <f>3*(3+10+1)</f>
        <v>42</v>
      </c>
      <c r="X2" s="3"/>
      <c r="Y2" s="3"/>
      <c r="Z2" s="3"/>
      <c r="AA2" s="3"/>
      <c r="AC2" s="3"/>
      <c r="AD2" s="3"/>
      <c r="AE2" s="3"/>
      <c r="AF2" s="21">
        <v>550</v>
      </c>
      <c r="AG2" s="3"/>
      <c r="AH2" s="3"/>
      <c r="AI2" s="3"/>
      <c r="AJ2" s="3"/>
      <c r="AL2" s="3"/>
      <c r="AM2" s="3"/>
      <c r="AN2" s="3"/>
      <c r="AO2" s="21">
        <v>180</v>
      </c>
      <c r="AP2" s="3"/>
      <c r="AQ2" s="3"/>
      <c r="AR2" s="3"/>
      <c r="AS2" s="3"/>
      <c r="AX2" s="3"/>
      <c r="AY2" s="3"/>
      <c r="AZ2" s="3"/>
      <c r="BA2" s="21">
        <f>20+20+15+15+5+5</f>
        <v>80</v>
      </c>
      <c r="BB2" s="3"/>
      <c r="BC2" s="3"/>
      <c r="BD2" s="3"/>
      <c r="BE2" s="3"/>
    </row>
    <row r="3" spans="2:57" x14ac:dyDescent="0.25">
      <c r="B3" s="15"/>
      <c r="C3" s="15"/>
      <c r="D3" s="15"/>
      <c r="E3" s="8"/>
      <c r="F3" s="15"/>
      <c r="G3" s="3"/>
      <c r="H3" s="3"/>
      <c r="I3" s="3"/>
      <c r="J3" s="4" t="s">
        <v>18</v>
      </c>
      <c r="K3" s="3"/>
      <c r="L3" s="3"/>
      <c r="M3" s="3"/>
      <c r="N3" s="3"/>
      <c r="O3" s="15"/>
      <c r="P3" s="19"/>
      <c r="Q3" s="19"/>
      <c r="R3" s="19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X3" s="3"/>
      <c r="AY3" s="3"/>
      <c r="AZ3" s="3"/>
      <c r="BA3" s="4" t="s">
        <v>18</v>
      </c>
      <c r="BB3" s="3"/>
      <c r="BC3" s="3"/>
      <c r="BD3" s="3"/>
      <c r="BE3" s="3"/>
    </row>
    <row r="4" spans="2:57" x14ac:dyDescent="0.25">
      <c r="B4" s="15"/>
      <c r="C4" s="15"/>
      <c r="D4" s="15"/>
      <c r="F4" s="15"/>
      <c r="G4" s="3"/>
      <c r="H4" s="3"/>
      <c r="I4" s="3"/>
      <c r="J4" s="3"/>
      <c r="K4" s="3"/>
      <c r="L4" s="3"/>
      <c r="M4" s="3"/>
      <c r="N4" s="3"/>
      <c r="O4" s="15"/>
      <c r="P4" s="19"/>
      <c r="Q4" s="19"/>
      <c r="R4" s="19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X4" s="3"/>
      <c r="AY4" s="3"/>
      <c r="AZ4" s="3"/>
      <c r="BA4" s="3"/>
      <c r="BB4" s="3"/>
      <c r="BC4" s="3"/>
      <c r="BD4" s="3"/>
      <c r="BE4" s="3"/>
    </row>
    <row r="5" spans="2:57" ht="15" customHeight="1" x14ac:dyDescent="0.25">
      <c r="B5" s="31" t="s">
        <v>4</v>
      </c>
      <c r="C5" s="32"/>
      <c r="D5" s="16"/>
      <c r="E5" s="35" t="s">
        <v>27</v>
      </c>
      <c r="F5" s="16"/>
      <c r="G5" s="35" t="s">
        <v>19</v>
      </c>
      <c r="H5" s="36"/>
      <c r="I5" s="36"/>
      <c r="J5" s="36"/>
      <c r="K5" s="36"/>
      <c r="L5" s="36"/>
      <c r="M5" s="36"/>
      <c r="N5" s="36"/>
      <c r="O5" s="23"/>
      <c r="P5" s="31" t="s">
        <v>20</v>
      </c>
      <c r="Q5" s="43"/>
      <c r="R5" s="32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7" t="s">
        <v>6</v>
      </c>
      <c r="AV5" s="38"/>
      <c r="AW5" s="38"/>
      <c r="AX5" s="38"/>
      <c r="AY5" s="38"/>
      <c r="AZ5" s="38"/>
      <c r="BA5" s="38"/>
      <c r="BB5" s="38"/>
      <c r="BC5" s="38"/>
      <c r="BD5" s="38"/>
      <c r="BE5" s="39"/>
    </row>
    <row r="6" spans="2:57" x14ac:dyDescent="0.25">
      <c r="B6" s="33"/>
      <c r="C6" s="34"/>
      <c r="D6" s="17"/>
      <c r="E6" s="36"/>
      <c r="F6" s="17"/>
      <c r="G6" s="36"/>
      <c r="H6" s="36"/>
      <c r="I6" s="36"/>
      <c r="J6" s="36"/>
      <c r="K6" s="36"/>
      <c r="L6" s="36"/>
      <c r="M6" s="36"/>
      <c r="N6" s="36"/>
      <c r="O6" s="24"/>
      <c r="P6" s="33"/>
      <c r="Q6" s="44"/>
      <c r="R6" s="34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40"/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7" spans="2:57" ht="25.5" x14ac:dyDescent="0.25">
      <c r="B7" s="25" t="s">
        <v>7</v>
      </c>
      <c r="C7" s="25" t="s">
        <v>8</v>
      </c>
      <c r="D7" s="18"/>
      <c r="E7" s="26" t="s">
        <v>9</v>
      </c>
      <c r="F7" s="18"/>
      <c r="G7" s="7" t="s">
        <v>10</v>
      </c>
      <c r="H7" s="7" t="s">
        <v>11</v>
      </c>
      <c r="I7" s="7" t="s">
        <v>12</v>
      </c>
      <c r="J7" s="27" t="s">
        <v>15</v>
      </c>
      <c r="K7" s="7" t="s">
        <v>16</v>
      </c>
      <c r="L7" s="7" t="s">
        <v>12</v>
      </c>
      <c r="M7" s="7" t="s">
        <v>13</v>
      </c>
      <c r="N7" s="7" t="s">
        <v>14</v>
      </c>
      <c r="O7" s="18"/>
      <c r="P7" s="28" t="s">
        <v>17</v>
      </c>
      <c r="Q7" s="28" t="s">
        <v>13</v>
      </c>
      <c r="R7" s="28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36</v>
      </c>
      <c r="AX7" s="7" t="s">
        <v>10</v>
      </c>
      <c r="AY7" s="7" t="s">
        <v>11</v>
      </c>
      <c r="AZ7" s="7" t="s">
        <v>12</v>
      </c>
      <c r="BA7" s="27" t="s">
        <v>15</v>
      </c>
      <c r="BB7" s="7" t="s">
        <v>16</v>
      </c>
      <c r="BC7" s="7" t="s">
        <v>12</v>
      </c>
      <c r="BD7" s="7" t="s">
        <v>13</v>
      </c>
      <c r="BE7" s="7" t="s">
        <v>14</v>
      </c>
    </row>
    <row r="8" spans="2:57" x14ac:dyDescent="0.25">
      <c r="B8" s="16">
        <f>RANK(C8,C$8:C$8,0)</f>
        <v>1</v>
      </c>
      <c r="C8" s="16">
        <f>SUMIF($G$1:$BE$1,1,$G8:$BE8)</f>
        <v>600</v>
      </c>
      <c r="D8" s="14"/>
      <c r="E8" s="22" t="s">
        <v>57</v>
      </c>
      <c r="F8" s="14"/>
      <c r="G8" s="11">
        <v>5</v>
      </c>
      <c r="H8" s="11">
        <v>58</v>
      </c>
      <c r="I8" s="13">
        <f>TIME(0,G8,H8)</f>
        <v>4.1435185185185186E-3</v>
      </c>
      <c r="J8" s="11">
        <v>90</v>
      </c>
      <c r="K8" s="11">
        <f>J$2-J8</f>
        <v>0</v>
      </c>
      <c r="L8" s="13">
        <f>I8+TIME(0,0,K8)</f>
        <v>4.1435185185185186E-3</v>
      </c>
      <c r="M8" s="11">
        <f>RANK(L8,L$8:L$8,1)</f>
        <v>1</v>
      </c>
      <c r="N8" s="16">
        <f>VLOOKUP(M8,'Место-баллы'!$A$3:$B$52,2,0)</f>
        <v>100</v>
      </c>
      <c r="O8" s="14"/>
      <c r="P8" s="16">
        <v>55</v>
      </c>
      <c r="Q8" s="16">
        <f>RANK(P8,P$8:P$8,0)</f>
        <v>1</v>
      </c>
      <c r="R8" s="16">
        <f>VLOOKUP(Q8,'Место-баллы'!$A$3:$B$52,2,0)</f>
        <v>100</v>
      </c>
      <c r="S8" s="12"/>
      <c r="T8" s="11">
        <v>9</v>
      </c>
      <c r="U8" s="11">
        <v>5</v>
      </c>
      <c r="V8" s="13">
        <f>TIME(0,T8,U8)</f>
        <v>6.3078703703703708E-3</v>
      </c>
      <c r="W8" s="11">
        <v>30</v>
      </c>
      <c r="X8" s="11">
        <f>W$2-W8</f>
        <v>12</v>
      </c>
      <c r="Y8" s="13">
        <f>V8+TIME(0,0,X8)</f>
        <v>6.4467592592592597E-3</v>
      </c>
      <c r="Z8" s="11">
        <f>RANK(Y8,Y$8:Y$8,1)</f>
        <v>1</v>
      </c>
      <c r="AA8" s="16">
        <f>VLOOKUP(Z8,'Место-баллы'!$A$3:$B$52,2,0)</f>
        <v>100</v>
      </c>
      <c r="AB8" s="12"/>
      <c r="AC8" s="11">
        <v>4</v>
      </c>
      <c r="AD8" s="11">
        <v>0</v>
      </c>
      <c r="AE8" s="13">
        <f>TIME(0,AC8,AD8)</f>
        <v>2.7777777777777779E-3</v>
      </c>
      <c r="AF8" s="11">
        <v>500</v>
      </c>
      <c r="AG8" s="11">
        <f>AF$2-AF8</f>
        <v>50</v>
      </c>
      <c r="AH8" s="13">
        <f>AE8+TIME(0,0,AG8)</f>
        <v>3.3564814814814816E-3</v>
      </c>
      <c r="AI8" s="11">
        <f>RANK(AH8,AH$8:AH$8,1)</f>
        <v>1</v>
      </c>
      <c r="AJ8" s="16">
        <f>VLOOKUP(AI8,'Место-баллы'!$A$3:$B$52,2,0)</f>
        <v>100</v>
      </c>
      <c r="AK8" s="12"/>
      <c r="AL8" s="11">
        <v>9</v>
      </c>
      <c r="AM8" s="11">
        <v>54</v>
      </c>
      <c r="AN8" s="13">
        <f>TIME(0,AL8,AM8)</f>
        <v>6.875E-3</v>
      </c>
      <c r="AO8" s="11">
        <v>180</v>
      </c>
      <c r="AP8" s="11">
        <f>AO$2-AO8</f>
        <v>0</v>
      </c>
      <c r="AQ8" s="13">
        <f>AN8+TIME(0,0,AP8)</f>
        <v>6.875E-3</v>
      </c>
      <c r="AR8" s="11">
        <f>RANK(AQ8,AQ$8:AQ$8,1)</f>
        <v>1</v>
      </c>
      <c r="AS8" s="16">
        <f>VLOOKUP(AR8,'Место-баллы'!$A$3:$B$52,2,0)</f>
        <v>100</v>
      </c>
      <c r="AT8" s="12"/>
      <c r="AU8" s="11">
        <v>3</v>
      </c>
      <c r="AV8" s="11">
        <v>7</v>
      </c>
      <c r="AW8" s="13">
        <f>TIME(0,AU8,AV8)</f>
        <v>2.1643518518518518E-3</v>
      </c>
      <c r="AX8" s="11">
        <v>4</v>
      </c>
      <c r="AY8" s="11">
        <v>32</v>
      </c>
      <c r="AZ8" s="13">
        <f>TIME(0,AX8,AY8)</f>
        <v>3.1481481481481482E-3</v>
      </c>
      <c r="BA8" s="11">
        <v>80</v>
      </c>
      <c r="BB8" s="11">
        <f>BA$2-BA8</f>
        <v>0</v>
      </c>
      <c r="BC8" s="13">
        <f>AZ8+TIME(0,0,BB8)</f>
        <v>3.1481481481481482E-3</v>
      </c>
      <c r="BD8" s="11">
        <f>RANK(BC8,BC$8:BC$8,1)</f>
        <v>1</v>
      </c>
      <c r="BE8" s="16">
        <f>VLOOKUP(BD8,'Место-баллы'!$A$3:$B$52,2,0)</f>
        <v>100</v>
      </c>
    </row>
    <row r="9" spans="2:57" ht="18.75" customHeight="1" x14ac:dyDescent="0.25"/>
    <row r="10" spans="2:57" ht="18.75" customHeight="1" x14ac:dyDescent="0.25"/>
    <row r="11" spans="2:57" ht="18.75" customHeight="1" x14ac:dyDescent="0.25"/>
    <row r="12" spans="2:57" ht="18.75" customHeight="1" x14ac:dyDescent="0.25"/>
    <row r="13" spans="2:57" ht="18.75" customHeight="1" x14ac:dyDescent="0.25"/>
    <row r="14" spans="2:57" ht="18.75" customHeight="1" x14ac:dyDescent="0.25"/>
    <row r="15" spans="2:57" ht="18.75" customHeight="1" x14ac:dyDescent="0.25"/>
    <row r="16" spans="2:57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</sheetData>
  <autoFilter ref="B7:BE7" xr:uid="{00000000-0001-0000-0300-000000000000}">
    <sortState xmlns:xlrd2="http://schemas.microsoft.com/office/spreadsheetml/2017/richdata2" ref="B8:BE9">
      <sortCondition ref="E7"/>
    </sortState>
  </autoFilter>
  <mergeCells count="8">
    <mergeCell ref="AU5:BE6"/>
    <mergeCell ref="AL5:AS6"/>
    <mergeCell ref="B5:C6"/>
    <mergeCell ref="E5:E6"/>
    <mergeCell ref="G5:N6"/>
    <mergeCell ref="P5:R6"/>
    <mergeCell ref="T5:AA6"/>
    <mergeCell ref="AC5:AJ6"/>
  </mergeCells>
  <printOptions horizontalCentered="1" verticalCentered="1"/>
  <pageMargins left="0" right="0" top="0" bottom="0" header="0" footer="0"/>
  <pageSetup paperSize="9" scale="64" orientation="landscape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E12"/>
  <sheetViews>
    <sheetView zoomScaleNormal="100" workbookViewId="0">
      <pane xSplit="5" ySplit="7" topLeftCell="AB8" activePane="bottomRight" state="frozen"/>
      <selection pane="topRight" activeCell="F1" sqref="F1"/>
      <selection pane="bottomLeft" activeCell="A8" sqref="A8"/>
      <selection pane="bottomRight" activeCell="AN15" sqref="AN15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9.28515625" bestFit="1" customWidth="1"/>
    <col min="6" max="6" width="1.42578125" customWidth="1"/>
    <col min="7" max="7" width="5.140625" hidden="1" customWidth="1" outlineLevel="1"/>
    <col min="8" max="8" width="4.28515625" hidden="1" customWidth="1" outlineLevel="1"/>
    <col min="9" max="9" width="7.140625" customWidth="1" collapsed="1"/>
    <col min="10" max="10" width="6.85546875" customWidth="1"/>
    <col min="11" max="11" width="7.85546875" hidden="1" customWidth="1" outlineLevel="1"/>
    <col min="12" max="12" width="7.140625" hidden="1" customWidth="1" outlineLevel="1"/>
    <col min="13" max="13" width="7.140625" customWidth="1" collapsed="1"/>
    <col min="14" max="14" width="6.85546875" customWidth="1"/>
    <col min="15" max="15" width="1.42578125" customWidth="1"/>
    <col min="16" max="16" width="5.5703125" customWidth="1"/>
    <col min="17" max="17" width="7.140625" customWidth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9.140625" bestFit="1" customWidth="1" collapsed="1"/>
    <col min="50" max="50" width="5.140625" hidden="1" customWidth="1" outlineLevel="1"/>
    <col min="51" max="51" width="4.28515625" hidden="1" customWidth="1" outlineLevel="1"/>
    <col min="52" max="52" width="7.140625" customWidth="1" collapsed="1"/>
    <col min="53" max="53" width="6.85546875" customWidth="1"/>
    <col min="54" max="54" width="7.85546875" hidden="1" customWidth="1" outlineLevel="1"/>
    <col min="55" max="55" width="7.140625" hidden="1" customWidth="1" outlineLevel="1"/>
    <col min="56" max="56" width="7.140625" customWidth="1" collapsed="1"/>
    <col min="57" max="57" width="6.85546875" customWidth="1"/>
  </cols>
  <sheetData>
    <row r="1" spans="2:57" x14ac:dyDescent="0.25">
      <c r="B1" s="15"/>
      <c r="C1" s="15"/>
      <c r="D1" s="15"/>
      <c r="E1" s="8"/>
      <c r="F1" s="15"/>
      <c r="G1" s="3"/>
      <c r="H1" s="3"/>
      <c r="I1" s="3"/>
      <c r="J1" s="3"/>
      <c r="K1" s="3"/>
      <c r="L1" s="3"/>
      <c r="M1" s="3"/>
      <c r="N1" s="10">
        <v>1</v>
      </c>
      <c r="O1" s="15"/>
      <c r="P1" s="19"/>
      <c r="Q1" s="19"/>
      <c r="R1" s="2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X1" s="3"/>
      <c r="AY1" s="3"/>
      <c r="AZ1" s="3"/>
      <c r="BA1" s="3"/>
      <c r="BB1" s="3"/>
      <c r="BC1" s="3"/>
      <c r="BD1" s="3"/>
      <c r="BE1" s="10">
        <v>1</v>
      </c>
    </row>
    <row r="2" spans="2:57" x14ac:dyDescent="0.25">
      <c r="B2" s="15"/>
      <c r="C2" s="15"/>
      <c r="D2" s="15"/>
      <c r="E2" s="8"/>
      <c r="F2" s="15"/>
      <c r="G2" s="3"/>
      <c r="H2" s="3"/>
      <c r="I2" s="3"/>
      <c r="J2" s="21">
        <f>3*30</f>
        <v>90</v>
      </c>
      <c r="K2" s="3"/>
      <c r="L2" s="3"/>
      <c r="M2" s="3"/>
      <c r="N2" s="3"/>
      <c r="O2" s="15"/>
      <c r="P2" s="19"/>
      <c r="Q2" s="19"/>
      <c r="R2" s="19"/>
      <c r="T2" s="3"/>
      <c r="U2" s="3"/>
      <c r="V2" s="3"/>
      <c r="W2" s="21">
        <f>3*(3+10+1)</f>
        <v>42</v>
      </c>
      <c r="X2" s="3"/>
      <c r="Y2" s="3"/>
      <c r="Z2" s="3"/>
      <c r="AA2" s="3"/>
      <c r="AC2" s="3"/>
      <c r="AD2" s="3"/>
      <c r="AE2" s="3"/>
      <c r="AF2" s="21">
        <v>750</v>
      </c>
      <c r="AG2" s="3"/>
      <c r="AH2" s="3"/>
      <c r="AI2" s="3"/>
      <c r="AJ2" s="3"/>
      <c r="AL2" s="3"/>
      <c r="AM2" s="3"/>
      <c r="AN2" s="3"/>
      <c r="AO2" s="21">
        <v>190</v>
      </c>
      <c r="AP2" s="3"/>
      <c r="AQ2" s="3"/>
      <c r="AR2" s="3"/>
      <c r="AS2" s="3"/>
      <c r="AX2" s="3"/>
      <c r="AY2" s="3"/>
      <c r="AZ2" s="3"/>
      <c r="BA2" s="21">
        <f>20+20+15+15+5+5</f>
        <v>80</v>
      </c>
      <c r="BB2" s="3"/>
      <c r="BC2" s="3"/>
      <c r="BD2" s="3"/>
      <c r="BE2" s="3"/>
    </row>
    <row r="3" spans="2:57" x14ac:dyDescent="0.25">
      <c r="B3" s="15"/>
      <c r="C3" s="15"/>
      <c r="D3" s="15"/>
      <c r="E3" s="8"/>
      <c r="F3" s="15"/>
      <c r="G3" s="3"/>
      <c r="H3" s="3"/>
      <c r="I3" s="3"/>
      <c r="J3" s="4" t="s">
        <v>18</v>
      </c>
      <c r="K3" s="3"/>
      <c r="L3" s="3"/>
      <c r="M3" s="3"/>
      <c r="N3" s="3"/>
      <c r="O3" s="15"/>
      <c r="P3" s="19"/>
      <c r="Q3" s="19"/>
      <c r="R3" s="19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X3" s="3"/>
      <c r="AY3" s="3"/>
      <c r="AZ3" s="3"/>
      <c r="BA3" s="4" t="s">
        <v>18</v>
      </c>
      <c r="BB3" s="3"/>
      <c r="BC3" s="3"/>
      <c r="BD3" s="3"/>
      <c r="BE3" s="3"/>
    </row>
    <row r="4" spans="2:57" x14ac:dyDescent="0.25">
      <c r="B4" s="15"/>
      <c r="C4" s="15"/>
      <c r="D4" s="15"/>
      <c r="F4" s="15"/>
      <c r="G4" s="3"/>
      <c r="H4" s="3"/>
      <c r="I4" s="3"/>
      <c r="J4" s="3"/>
      <c r="K4" s="3"/>
      <c r="L4" s="3"/>
      <c r="M4" s="3"/>
      <c r="N4" s="3"/>
      <c r="O4" s="15"/>
      <c r="P4" s="19"/>
      <c r="Q4" s="19"/>
      <c r="R4" s="19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X4" s="3"/>
      <c r="AY4" s="3"/>
      <c r="AZ4" s="3"/>
      <c r="BA4" s="3"/>
      <c r="BB4" s="3"/>
      <c r="BC4" s="3"/>
      <c r="BD4" s="3"/>
      <c r="BE4" s="3"/>
    </row>
    <row r="5" spans="2:57" ht="15" customHeight="1" x14ac:dyDescent="0.25">
      <c r="B5" s="31" t="s">
        <v>4</v>
      </c>
      <c r="C5" s="32"/>
      <c r="D5" s="16"/>
      <c r="E5" s="35" t="s">
        <v>28</v>
      </c>
      <c r="F5" s="16"/>
      <c r="G5" s="35" t="s">
        <v>19</v>
      </c>
      <c r="H5" s="36"/>
      <c r="I5" s="36"/>
      <c r="J5" s="36"/>
      <c r="K5" s="36"/>
      <c r="L5" s="36"/>
      <c r="M5" s="36"/>
      <c r="N5" s="36"/>
      <c r="O5" s="23"/>
      <c r="P5" s="31" t="s">
        <v>20</v>
      </c>
      <c r="Q5" s="43"/>
      <c r="R5" s="32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7" t="s">
        <v>6</v>
      </c>
      <c r="AV5" s="38"/>
      <c r="AW5" s="38"/>
      <c r="AX5" s="38"/>
      <c r="AY5" s="38"/>
      <c r="AZ5" s="38"/>
      <c r="BA5" s="38"/>
      <c r="BB5" s="38"/>
      <c r="BC5" s="38"/>
      <c r="BD5" s="38"/>
      <c r="BE5" s="39"/>
    </row>
    <row r="6" spans="2:57" x14ac:dyDescent="0.25">
      <c r="B6" s="33"/>
      <c r="C6" s="34"/>
      <c r="D6" s="17"/>
      <c r="E6" s="36"/>
      <c r="F6" s="17"/>
      <c r="G6" s="36"/>
      <c r="H6" s="36"/>
      <c r="I6" s="36"/>
      <c r="J6" s="36"/>
      <c r="K6" s="36"/>
      <c r="L6" s="36"/>
      <c r="M6" s="36"/>
      <c r="N6" s="36"/>
      <c r="O6" s="24"/>
      <c r="P6" s="33"/>
      <c r="Q6" s="44"/>
      <c r="R6" s="34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40"/>
      <c r="AV6" s="41"/>
      <c r="AW6" s="41"/>
      <c r="AX6" s="41"/>
      <c r="AY6" s="41"/>
      <c r="AZ6" s="41"/>
      <c r="BA6" s="41"/>
      <c r="BB6" s="41"/>
      <c r="BC6" s="41"/>
      <c r="BD6" s="41"/>
      <c r="BE6" s="42"/>
    </row>
    <row r="7" spans="2:57" ht="25.5" x14ac:dyDescent="0.25">
      <c r="B7" s="25" t="s">
        <v>7</v>
      </c>
      <c r="C7" s="25" t="s">
        <v>8</v>
      </c>
      <c r="D7" s="18"/>
      <c r="E7" s="26" t="s">
        <v>9</v>
      </c>
      <c r="F7" s="18"/>
      <c r="G7" s="7" t="s">
        <v>10</v>
      </c>
      <c r="H7" s="7" t="s">
        <v>11</v>
      </c>
      <c r="I7" s="7" t="s">
        <v>12</v>
      </c>
      <c r="J7" s="27" t="s">
        <v>15</v>
      </c>
      <c r="K7" s="7" t="s">
        <v>16</v>
      </c>
      <c r="L7" s="7" t="s">
        <v>12</v>
      </c>
      <c r="M7" s="7" t="s">
        <v>13</v>
      </c>
      <c r="N7" s="7" t="s">
        <v>14</v>
      </c>
      <c r="O7" s="18"/>
      <c r="P7" s="28" t="s">
        <v>17</v>
      </c>
      <c r="Q7" s="28" t="s">
        <v>13</v>
      </c>
      <c r="R7" s="28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36</v>
      </c>
      <c r="AX7" s="7" t="s">
        <v>10</v>
      </c>
      <c r="AY7" s="7" t="s">
        <v>11</v>
      </c>
      <c r="AZ7" s="7" t="s">
        <v>12</v>
      </c>
      <c r="BA7" s="27" t="s">
        <v>15</v>
      </c>
      <c r="BB7" s="7" t="s">
        <v>16</v>
      </c>
      <c r="BC7" s="7" t="s">
        <v>12</v>
      </c>
      <c r="BD7" s="7" t="s">
        <v>13</v>
      </c>
      <c r="BE7" s="7" t="s">
        <v>14</v>
      </c>
    </row>
    <row r="8" spans="2:57" x14ac:dyDescent="0.25">
      <c r="B8" s="16">
        <f>RANK(C8,C$8:C$11,0)</f>
        <v>1</v>
      </c>
      <c r="C8" s="16">
        <f>SUMIF($G$1:$BE$1,1,$G8:$BE8)</f>
        <v>585</v>
      </c>
      <c r="D8" s="14"/>
      <c r="E8" s="9" t="s">
        <v>43</v>
      </c>
      <c r="F8" s="14"/>
      <c r="G8" s="11">
        <v>4</v>
      </c>
      <c r="H8" s="11">
        <v>47</v>
      </c>
      <c r="I8" s="13">
        <f>TIME(0,G8,H8)</f>
        <v>3.3217592592592591E-3</v>
      </c>
      <c r="J8" s="11">
        <v>90</v>
      </c>
      <c r="K8" s="11">
        <f>J$2-J8</f>
        <v>0</v>
      </c>
      <c r="L8" s="13">
        <f>I8+TIME(0,0,K8)</f>
        <v>3.3217592592592591E-3</v>
      </c>
      <c r="M8" s="11">
        <f>RANK(L8,L$8:L$11,1)</f>
        <v>2</v>
      </c>
      <c r="N8" s="16">
        <f>VLOOKUP(M8,'Место-баллы'!$A$3:$B$52,2,0)</f>
        <v>95</v>
      </c>
      <c r="O8" s="14"/>
      <c r="P8" s="16">
        <v>85</v>
      </c>
      <c r="Q8" s="16">
        <f>RANK(P8,P$8:P$11,0)</f>
        <v>1</v>
      </c>
      <c r="R8" s="16">
        <f>VLOOKUP(Q8,'Место-баллы'!$A$3:$B$52,2,0)</f>
        <v>100</v>
      </c>
      <c r="S8" s="12"/>
      <c r="T8" s="11">
        <v>6</v>
      </c>
      <c r="U8" s="11">
        <v>30</v>
      </c>
      <c r="V8" s="13">
        <f>TIME(0,T8,U8)</f>
        <v>4.5138888888888893E-3</v>
      </c>
      <c r="W8" s="11">
        <v>42</v>
      </c>
      <c r="X8" s="11">
        <f>W$2-W8</f>
        <v>0</v>
      </c>
      <c r="Y8" s="13">
        <f>V8+TIME(0,0,X8)</f>
        <v>4.5138888888888893E-3</v>
      </c>
      <c r="Z8" s="11">
        <f>RANK(Y8,Y$8:Y$11,1)</f>
        <v>1</v>
      </c>
      <c r="AA8" s="16">
        <f>VLOOKUP(Z8,'Место-баллы'!$A$3:$B$52,2,0)</f>
        <v>100</v>
      </c>
      <c r="AB8" s="12"/>
      <c r="AC8" s="11">
        <v>4</v>
      </c>
      <c r="AD8" s="11">
        <v>21</v>
      </c>
      <c r="AE8" s="13">
        <f>TIME(0,AC8,AD8)</f>
        <v>3.0208333333333333E-3</v>
      </c>
      <c r="AF8" s="11">
        <v>750</v>
      </c>
      <c r="AG8" s="11">
        <f>AF$2-AF8</f>
        <v>0</v>
      </c>
      <c r="AH8" s="13">
        <f>AE8+TIME(0,0,AG8)</f>
        <v>3.0208333333333333E-3</v>
      </c>
      <c r="AI8" s="11">
        <f>RANK(AH8,AH$8:AH$11,1)</f>
        <v>2</v>
      </c>
      <c r="AJ8" s="16">
        <f>VLOOKUP(AI8,'Место-баллы'!$A$3:$B$52,2,0)</f>
        <v>95</v>
      </c>
      <c r="AK8" s="12"/>
      <c r="AL8" s="11">
        <v>9</v>
      </c>
      <c r="AM8" s="11">
        <v>43</v>
      </c>
      <c r="AN8" s="13">
        <f>TIME(0,AL8,AM8)</f>
        <v>6.7476851851851856E-3</v>
      </c>
      <c r="AO8" s="11">
        <v>190</v>
      </c>
      <c r="AP8" s="11">
        <f>AO$2-AO8</f>
        <v>0</v>
      </c>
      <c r="AQ8" s="13">
        <f>AN8+TIME(0,0,AP8)</f>
        <v>6.7476851851851856E-3</v>
      </c>
      <c r="AR8" s="11">
        <f>RANK(AQ8,AQ$8:AQ$11,1)</f>
        <v>1</v>
      </c>
      <c r="AS8" s="16">
        <f>VLOOKUP(AR8,'Место-баллы'!$A$3:$B$52,2,0)</f>
        <v>100</v>
      </c>
      <c r="AT8" s="12"/>
      <c r="AU8" s="11">
        <v>3</v>
      </c>
      <c r="AV8" s="11">
        <v>2</v>
      </c>
      <c r="AW8" s="13">
        <f>TIME(0,AU8,AV8)</f>
        <v>2.1064814814814813E-3</v>
      </c>
      <c r="AX8" s="11">
        <v>3</v>
      </c>
      <c r="AY8" s="11">
        <v>57</v>
      </c>
      <c r="AZ8" s="13">
        <f>TIME(0,AX8,AY8)</f>
        <v>2.7430555555555559E-3</v>
      </c>
      <c r="BA8" s="11">
        <v>80</v>
      </c>
      <c r="BB8" s="11">
        <f>BA$2-BA8</f>
        <v>0</v>
      </c>
      <c r="BC8" s="13">
        <f>AZ8+TIME(0,0,BB8)</f>
        <v>2.7430555555555559E-3</v>
      </c>
      <c r="BD8" s="11">
        <f>RANK(BC8,BC$8:BC$11,1)</f>
        <v>2</v>
      </c>
      <c r="BE8" s="16">
        <f>VLOOKUP(BD8,'Место-баллы'!$A$3:$B$52,2,0)</f>
        <v>95</v>
      </c>
    </row>
    <row r="9" spans="2:57" x14ac:dyDescent="0.25">
      <c r="B9" s="16">
        <f>RANK(C9,C$8:C$11,0)</f>
        <v>2</v>
      </c>
      <c r="C9" s="16">
        <f>SUMIF($G$1:$BE$1,1,$G9:$BE9)</f>
        <v>560</v>
      </c>
      <c r="D9" s="14"/>
      <c r="E9" s="9" t="s">
        <v>66</v>
      </c>
      <c r="F9" s="14"/>
      <c r="G9" s="11">
        <v>4</v>
      </c>
      <c r="H9" s="11">
        <v>37</v>
      </c>
      <c r="I9" s="13">
        <f>TIME(0,G9,H9)</f>
        <v>3.2060185185185191E-3</v>
      </c>
      <c r="J9" s="11">
        <v>90</v>
      </c>
      <c r="K9" s="11">
        <f>J$2-J9</f>
        <v>0</v>
      </c>
      <c r="L9" s="13">
        <f>I9+TIME(0,0,K9)</f>
        <v>3.2060185185185191E-3</v>
      </c>
      <c r="M9" s="11">
        <f>RANK(L9,L$8:L$11,1)</f>
        <v>1</v>
      </c>
      <c r="N9" s="16">
        <f>VLOOKUP(M9,'Место-баллы'!$A$3:$B$52,2,0)</f>
        <v>100</v>
      </c>
      <c r="O9" s="14"/>
      <c r="P9" s="16">
        <v>75</v>
      </c>
      <c r="Q9" s="16">
        <f>RANK(P9,P$8:P$11,0)</f>
        <v>3</v>
      </c>
      <c r="R9" s="16">
        <f>VLOOKUP(Q9,'Место-баллы'!$A$3:$B$52,2,0)</f>
        <v>90</v>
      </c>
      <c r="S9" s="12"/>
      <c r="T9" s="11">
        <v>9</v>
      </c>
      <c r="U9" s="11">
        <v>5</v>
      </c>
      <c r="V9" s="13">
        <f>TIME(0,T9,U9)</f>
        <v>6.3078703703703708E-3</v>
      </c>
      <c r="W9" s="11">
        <v>28</v>
      </c>
      <c r="X9" s="11">
        <f>W$2-W9</f>
        <v>14</v>
      </c>
      <c r="Y9" s="13">
        <f>V9+TIME(0,0,X9)</f>
        <v>6.4699074074074077E-3</v>
      </c>
      <c r="Z9" s="11">
        <f>RANK(Y9,Y$8:Y$11,1)</f>
        <v>4</v>
      </c>
      <c r="AA9" s="16">
        <f>VLOOKUP(Z9,'Место-баллы'!$A$3:$B$52,2,0)</f>
        <v>85</v>
      </c>
      <c r="AB9" s="12"/>
      <c r="AC9" s="11">
        <v>4</v>
      </c>
      <c r="AD9" s="11">
        <v>18</v>
      </c>
      <c r="AE9" s="13">
        <f>TIME(0,AC9,AD9)</f>
        <v>2.9861111111111113E-3</v>
      </c>
      <c r="AF9" s="11">
        <v>750</v>
      </c>
      <c r="AG9" s="11">
        <f>AF$2-AF9</f>
        <v>0</v>
      </c>
      <c r="AH9" s="13">
        <f>AE9+TIME(0,0,AG9)</f>
        <v>2.9861111111111113E-3</v>
      </c>
      <c r="AI9" s="11">
        <f>RANK(AH9,AH$8:AH$11,1)</f>
        <v>1</v>
      </c>
      <c r="AJ9" s="16">
        <f>VLOOKUP(AI9,'Место-баллы'!$A$3:$B$52,2,0)</f>
        <v>100</v>
      </c>
      <c r="AK9" s="12"/>
      <c r="AL9" s="11">
        <v>10</v>
      </c>
      <c r="AM9" s="11">
        <v>5</v>
      </c>
      <c r="AN9" s="13">
        <f>TIME(0,AL9,AM9)</f>
        <v>7.0023148148148154E-3</v>
      </c>
      <c r="AO9" s="11">
        <v>190</v>
      </c>
      <c r="AP9" s="11">
        <f>AO$2-AO9</f>
        <v>0</v>
      </c>
      <c r="AQ9" s="13">
        <f>AN9+TIME(0,0,AP9)</f>
        <v>7.0023148148148154E-3</v>
      </c>
      <c r="AR9" s="11">
        <f>RANK(AQ9,AQ$8:AQ$11,1)</f>
        <v>2</v>
      </c>
      <c r="AS9" s="16">
        <f>VLOOKUP(AR9,'Место-баллы'!$A$3:$B$52,2,0)</f>
        <v>95</v>
      </c>
      <c r="AT9" s="12"/>
      <c r="AU9" s="11">
        <v>2</v>
      </c>
      <c r="AV9" s="11">
        <v>50</v>
      </c>
      <c r="AW9" s="13">
        <f>TIME(0,AU9,AV9)</f>
        <v>1.9675925925925928E-3</v>
      </c>
      <c r="AX9" s="11">
        <v>4</v>
      </c>
      <c r="AY9" s="11">
        <v>9</v>
      </c>
      <c r="AZ9" s="13">
        <f>TIME(0,AX9,AY9)</f>
        <v>2.8819444444444444E-3</v>
      </c>
      <c r="BA9" s="11">
        <v>80</v>
      </c>
      <c r="BB9" s="11">
        <f>BA$2-BA9</f>
        <v>0</v>
      </c>
      <c r="BC9" s="13">
        <f>AZ9+TIME(0,0,BB9)</f>
        <v>2.8819444444444444E-3</v>
      </c>
      <c r="BD9" s="11">
        <f>RANK(BC9,BC$8:BC$11,1)</f>
        <v>3</v>
      </c>
      <c r="BE9" s="16">
        <f>VLOOKUP(BD9,'Место-баллы'!$A$3:$B$52,2,0)</f>
        <v>90</v>
      </c>
    </row>
    <row r="10" spans="2:57" x14ac:dyDescent="0.25">
      <c r="B10" s="16">
        <f>RANK(C10,C$8:C$11,0)</f>
        <v>3</v>
      </c>
      <c r="C10" s="16">
        <f>SUMIF($G$1:$BE$1,1,$G10:$BE10)</f>
        <v>540</v>
      </c>
      <c r="D10" s="14"/>
      <c r="E10" s="22" t="s">
        <v>42</v>
      </c>
      <c r="F10" s="14"/>
      <c r="G10" s="11">
        <v>5</v>
      </c>
      <c r="H10" s="11">
        <v>19</v>
      </c>
      <c r="I10" s="13">
        <f>TIME(0,G10,H10)</f>
        <v>3.6921296296296298E-3</v>
      </c>
      <c r="J10" s="11">
        <v>90</v>
      </c>
      <c r="K10" s="11">
        <f>J$2-J10</f>
        <v>0</v>
      </c>
      <c r="L10" s="13">
        <f>I10+TIME(0,0,K10)</f>
        <v>3.6921296296296298E-3</v>
      </c>
      <c r="M10" s="11">
        <f>RANK(L10,L$8:L$11,1)</f>
        <v>4</v>
      </c>
      <c r="N10" s="16">
        <f>VLOOKUP(M10,'Место-баллы'!$A$3:$B$52,2,0)</f>
        <v>85</v>
      </c>
      <c r="O10" s="14"/>
      <c r="P10" s="16">
        <v>80</v>
      </c>
      <c r="Q10" s="16">
        <f>RANK(P10,P$8:P$11,0)</f>
        <v>2</v>
      </c>
      <c r="R10" s="16">
        <f>VLOOKUP(Q10,'Место-баллы'!$A$3:$B$52,2,0)</f>
        <v>95</v>
      </c>
      <c r="S10" s="12"/>
      <c r="T10" s="11">
        <v>8</v>
      </c>
      <c r="U10" s="11">
        <v>7</v>
      </c>
      <c r="V10" s="13">
        <f>TIME(0,T10,U10)</f>
        <v>5.6365740740740742E-3</v>
      </c>
      <c r="W10" s="11">
        <v>42</v>
      </c>
      <c r="X10" s="11">
        <f>W$2-W10</f>
        <v>0</v>
      </c>
      <c r="Y10" s="13">
        <f>V10+TIME(0,0,X10)</f>
        <v>5.6365740740740742E-3</v>
      </c>
      <c r="Z10" s="11">
        <f>RANK(Y10,Y$8:Y$11,1)</f>
        <v>3</v>
      </c>
      <c r="AA10" s="16">
        <f>VLOOKUP(Z10,'Место-баллы'!$A$3:$B$52,2,0)</f>
        <v>90</v>
      </c>
      <c r="AB10" s="12"/>
      <c r="AC10" s="11">
        <v>4</v>
      </c>
      <c r="AD10" s="11">
        <v>59</v>
      </c>
      <c r="AE10" s="13">
        <f>TIME(0,AC10,AD10)</f>
        <v>3.4606481481481485E-3</v>
      </c>
      <c r="AF10" s="11">
        <v>750</v>
      </c>
      <c r="AG10" s="11">
        <f>AF$2-AF10</f>
        <v>0</v>
      </c>
      <c r="AH10" s="13">
        <f>AE10+TIME(0,0,AG10)</f>
        <v>3.4606481481481485E-3</v>
      </c>
      <c r="AI10" s="11">
        <f>RANK(AH10,AH$8:AH$11,1)</f>
        <v>4</v>
      </c>
      <c r="AJ10" s="16">
        <f>VLOOKUP(AI10,'Место-баллы'!$A$3:$B$52,2,0)</f>
        <v>85</v>
      </c>
      <c r="AK10" s="12"/>
      <c r="AL10" s="11">
        <v>11</v>
      </c>
      <c r="AM10" s="11">
        <v>19</v>
      </c>
      <c r="AN10" s="13">
        <f>TIME(0,AL10,AM10)</f>
        <v>7.858796296296296E-3</v>
      </c>
      <c r="AO10" s="11">
        <v>190</v>
      </c>
      <c r="AP10" s="11">
        <f>AO$2-AO10</f>
        <v>0</v>
      </c>
      <c r="AQ10" s="13">
        <f>AN10+TIME(0,0,AP10)</f>
        <v>7.858796296296296E-3</v>
      </c>
      <c r="AR10" s="11">
        <f>RANK(AQ10,AQ$8:AQ$11,1)</f>
        <v>4</v>
      </c>
      <c r="AS10" s="16">
        <f>VLOOKUP(AR10,'Место-баллы'!$A$3:$B$52,2,0)</f>
        <v>85</v>
      </c>
      <c r="AT10" s="12"/>
      <c r="AU10" s="11">
        <v>3</v>
      </c>
      <c r="AV10" s="11">
        <v>4</v>
      </c>
      <c r="AW10" s="13">
        <f>TIME(0,AU10,AV10)</f>
        <v>2.1296296296296298E-3</v>
      </c>
      <c r="AX10" s="11">
        <v>3</v>
      </c>
      <c r="AY10" s="11">
        <v>56</v>
      </c>
      <c r="AZ10" s="13">
        <f>TIME(0,AX10,AY10)</f>
        <v>2.7314814814814819E-3</v>
      </c>
      <c r="BA10" s="11">
        <v>80</v>
      </c>
      <c r="BB10" s="11">
        <f>BA$2-BA10</f>
        <v>0</v>
      </c>
      <c r="BC10" s="13">
        <f>AZ10+TIME(0,0,BB10)</f>
        <v>2.7314814814814819E-3</v>
      </c>
      <c r="BD10" s="11">
        <f>RANK(BC10,BC$8:BC$11,1)</f>
        <v>1</v>
      </c>
      <c r="BE10" s="16">
        <f>VLOOKUP(BD10,'Место-баллы'!$A$3:$B$52,2,0)</f>
        <v>100</v>
      </c>
    </row>
    <row r="11" spans="2:57" x14ac:dyDescent="0.25">
      <c r="B11" s="16">
        <f>RANK(C11,C$8:C$11,0)</f>
        <v>4</v>
      </c>
      <c r="C11" s="16">
        <f>SUMIF($G$1:$BE$1,1,$G11:$BE11)</f>
        <v>535</v>
      </c>
      <c r="D11" s="14"/>
      <c r="E11" s="9" t="s">
        <v>67</v>
      </c>
      <c r="F11" s="14"/>
      <c r="G11" s="11">
        <v>4</v>
      </c>
      <c r="H11" s="11">
        <v>48</v>
      </c>
      <c r="I11" s="13">
        <f>TIME(0,G11,H11)</f>
        <v>3.3333333333333335E-3</v>
      </c>
      <c r="J11" s="11">
        <v>90</v>
      </c>
      <c r="K11" s="11">
        <f>J$2-J11</f>
        <v>0</v>
      </c>
      <c r="L11" s="13">
        <f>I11+TIME(0,0,K11)</f>
        <v>3.3333333333333335E-3</v>
      </c>
      <c r="M11" s="11">
        <f>RANK(L11,L$8:L$11,1)</f>
        <v>3</v>
      </c>
      <c r="N11" s="16">
        <f>VLOOKUP(M11,'Место-баллы'!$A$3:$B$52,2,0)</f>
        <v>90</v>
      </c>
      <c r="O11" s="14"/>
      <c r="P11" s="16">
        <v>65</v>
      </c>
      <c r="Q11" s="16">
        <f>RANK(P11,P$8:P$11,0)</f>
        <v>4</v>
      </c>
      <c r="R11" s="16">
        <f>VLOOKUP(Q11,'Место-баллы'!$A$3:$B$52,2,0)</f>
        <v>85</v>
      </c>
      <c r="S11" s="12"/>
      <c r="T11" s="11">
        <v>6</v>
      </c>
      <c r="U11" s="11">
        <v>53</v>
      </c>
      <c r="V11" s="13">
        <f>TIME(0,T11,U11)</f>
        <v>4.7800925925925919E-3</v>
      </c>
      <c r="W11" s="11">
        <v>42</v>
      </c>
      <c r="X11" s="11">
        <f>W$2-W11</f>
        <v>0</v>
      </c>
      <c r="Y11" s="13">
        <f>V11+TIME(0,0,X11)</f>
        <v>4.7800925925925919E-3</v>
      </c>
      <c r="Z11" s="11">
        <f>RANK(Y11,Y$8:Y$11,1)</f>
        <v>2</v>
      </c>
      <c r="AA11" s="16">
        <f>VLOOKUP(Z11,'Место-баллы'!$A$3:$B$52,2,0)</f>
        <v>95</v>
      </c>
      <c r="AB11" s="12"/>
      <c r="AC11" s="11">
        <v>4</v>
      </c>
      <c r="AD11" s="11">
        <v>30</v>
      </c>
      <c r="AE11" s="13">
        <f>TIME(0,AC11,AD11)</f>
        <v>3.1249999999999997E-3</v>
      </c>
      <c r="AF11" s="11">
        <v>750</v>
      </c>
      <c r="AG11" s="11">
        <f>AF$2-AF11</f>
        <v>0</v>
      </c>
      <c r="AH11" s="13">
        <f>AE11+TIME(0,0,AG11)</f>
        <v>3.1249999999999997E-3</v>
      </c>
      <c r="AI11" s="11">
        <f>RANK(AH11,AH$8:AH$11,1)</f>
        <v>3</v>
      </c>
      <c r="AJ11" s="16">
        <f>VLOOKUP(AI11,'Место-баллы'!$A$3:$B$52,2,0)</f>
        <v>90</v>
      </c>
      <c r="AK11" s="12"/>
      <c r="AL11" s="11">
        <v>10</v>
      </c>
      <c r="AM11" s="11">
        <v>50</v>
      </c>
      <c r="AN11" s="13">
        <f>TIME(0,AL11,AM11)</f>
        <v>7.5231481481481477E-3</v>
      </c>
      <c r="AO11" s="11">
        <v>190</v>
      </c>
      <c r="AP11" s="11">
        <f>AO$2-AO11</f>
        <v>0</v>
      </c>
      <c r="AQ11" s="13">
        <f>AN11+TIME(0,0,AP11)</f>
        <v>7.5231481481481477E-3</v>
      </c>
      <c r="AR11" s="11">
        <f>RANK(AQ11,AQ$8:AQ$11,1)</f>
        <v>3</v>
      </c>
      <c r="AS11" s="16">
        <f>VLOOKUP(AR11,'Место-баллы'!$A$3:$B$52,2,0)</f>
        <v>90</v>
      </c>
      <c r="AT11" s="12"/>
      <c r="AU11" s="11">
        <v>2</v>
      </c>
      <c r="AV11" s="11">
        <v>56</v>
      </c>
      <c r="AW11" s="13">
        <f>TIME(0,AU11,AV11)</f>
        <v>2.0370370370370373E-3</v>
      </c>
      <c r="AX11" s="11">
        <v>6</v>
      </c>
      <c r="AY11" s="11">
        <v>5</v>
      </c>
      <c r="AZ11" s="13">
        <f>TIME(0,AX11,AY11)</f>
        <v>4.2245370370370371E-3</v>
      </c>
      <c r="BA11" s="11">
        <v>75</v>
      </c>
      <c r="BB11" s="11">
        <f>BA$2-BA11</f>
        <v>5</v>
      </c>
      <c r="BC11" s="13">
        <f>AZ11+TIME(0,0,BB11)</f>
        <v>4.2824074074074075E-3</v>
      </c>
      <c r="BD11" s="11">
        <f>RANK(BC11,BC$8:BC$11,1)</f>
        <v>4</v>
      </c>
      <c r="BE11" s="16">
        <f>VLOOKUP(BD11,'Место-баллы'!$A$3:$B$52,2,0)</f>
        <v>85</v>
      </c>
    </row>
    <row r="12" spans="2:57" ht="15.75" customHeight="1" x14ac:dyDescent="0.25"/>
  </sheetData>
  <autoFilter ref="B7:BE7" xr:uid="{00000000-0001-0000-0400-000000000000}">
    <sortState xmlns:xlrd2="http://schemas.microsoft.com/office/spreadsheetml/2017/richdata2" ref="B8:BE11">
      <sortCondition ref="B7"/>
    </sortState>
  </autoFilter>
  <mergeCells count="8">
    <mergeCell ref="AU5:BE6"/>
    <mergeCell ref="AL5:AS6"/>
    <mergeCell ref="B5:C6"/>
    <mergeCell ref="E5:E6"/>
    <mergeCell ref="G5:N6"/>
    <mergeCell ref="P5:R6"/>
    <mergeCell ref="T5:AA6"/>
    <mergeCell ref="AC5:AJ6"/>
  </mergeCells>
  <printOptions horizontalCentered="1" verticalCentered="1"/>
  <pageMargins left="0" right="0" top="0" bottom="0" header="0" footer="0"/>
  <pageSetup paperSize="9" scale="64" orientation="landscape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BB47"/>
  <sheetViews>
    <sheetView zoomScaleNormal="100" workbookViewId="0">
      <pane xSplit="5" ySplit="7" topLeftCell="S8" activePane="bottomRight" state="frozen"/>
      <selection pane="topRight" activeCell="F1" sqref="F1"/>
      <selection pane="bottomLeft" activeCell="A8" sqref="A8"/>
      <selection pane="bottomRight" activeCell="AX12" sqref="AX12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2.7109375" bestFit="1" customWidth="1"/>
    <col min="6" max="6" width="1.42578125" customWidth="1"/>
    <col min="7" max="7" width="5.570312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customWidth="1" collapsed="1"/>
    <col min="50" max="50" width="6.85546875" customWidth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</cols>
  <sheetData>
    <row r="1" spans="2:54" x14ac:dyDescent="0.25">
      <c r="B1" s="15"/>
      <c r="C1" s="15"/>
      <c r="D1" s="15"/>
      <c r="E1" s="8"/>
      <c r="F1" s="15"/>
      <c r="G1" s="19"/>
      <c r="H1" s="19"/>
      <c r="I1" s="20">
        <v>1</v>
      </c>
      <c r="J1" s="15"/>
      <c r="K1" s="3"/>
      <c r="L1" s="3"/>
      <c r="M1" s="3"/>
      <c r="N1" s="3"/>
      <c r="O1" s="3"/>
      <c r="P1" s="3"/>
      <c r="Q1" s="3"/>
      <c r="R1" s="1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U1" s="3"/>
      <c r="AV1" s="3"/>
      <c r="AW1" s="3"/>
      <c r="AX1" s="3"/>
      <c r="AY1" s="3"/>
      <c r="AZ1" s="3"/>
      <c r="BA1" s="3"/>
      <c r="BB1" s="10">
        <v>1</v>
      </c>
    </row>
    <row r="2" spans="2:54" x14ac:dyDescent="0.25">
      <c r="B2" s="15"/>
      <c r="C2" s="15"/>
      <c r="D2" s="15"/>
      <c r="E2" s="8"/>
      <c r="F2" s="15"/>
      <c r="G2" s="19"/>
      <c r="H2" s="19"/>
      <c r="I2" s="19"/>
      <c r="J2" s="15"/>
      <c r="K2" s="3"/>
      <c r="L2" s="3"/>
      <c r="M2" s="3"/>
      <c r="N2" s="21">
        <f>4*30</f>
        <v>120</v>
      </c>
      <c r="O2" s="3"/>
      <c r="P2" s="3"/>
      <c r="Q2" s="3"/>
      <c r="R2" s="3"/>
      <c r="T2" s="3"/>
      <c r="U2" s="3"/>
      <c r="V2" s="3"/>
      <c r="W2" s="21">
        <f>3*(3+10+2)</f>
        <v>45</v>
      </c>
      <c r="X2" s="3"/>
      <c r="Y2" s="3"/>
      <c r="Z2" s="3"/>
      <c r="AA2" s="3"/>
      <c r="AC2" s="3"/>
      <c r="AD2" s="3"/>
      <c r="AE2" s="3"/>
      <c r="AF2" s="21">
        <v>750</v>
      </c>
      <c r="AG2" s="3"/>
      <c r="AH2" s="3"/>
      <c r="AI2" s="3"/>
      <c r="AJ2" s="3"/>
      <c r="AL2" s="3"/>
      <c r="AM2" s="3"/>
      <c r="AN2" s="3"/>
      <c r="AO2" s="21">
        <v>185</v>
      </c>
      <c r="AP2" s="3"/>
      <c r="AQ2" s="3"/>
      <c r="AR2" s="3"/>
      <c r="AS2" s="3"/>
      <c r="AU2" s="3"/>
      <c r="AV2" s="3"/>
      <c r="AW2" s="3"/>
      <c r="AX2" s="21">
        <f>20+20+15+15+10+10</f>
        <v>90</v>
      </c>
      <c r="AY2" s="3"/>
      <c r="AZ2" s="3"/>
      <c r="BA2" s="3"/>
      <c r="BB2" s="3"/>
    </row>
    <row r="3" spans="2:54" x14ac:dyDescent="0.25">
      <c r="B3" s="15"/>
      <c r="C3" s="15"/>
      <c r="D3" s="15"/>
      <c r="E3" s="8"/>
      <c r="F3" s="15"/>
      <c r="G3" s="19"/>
      <c r="H3" s="19"/>
      <c r="I3" s="19"/>
      <c r="J3" s="15"/>
      <c r="K3" s="3"/>
      <c r="L3" s="3"/>
      <c r="M3" s="3"/>
      <c r="N3" s="4" t="s">
        <v>30</v>
      </c>
      <c r="O3" s="3"/>
      <c r="P3" s="3"/>
      <c r="Q3" s="3"/>
      <c r="R3" s="3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U3" s="3"/>
      <c r="AV3" s="3"/>
      <c r="AW3" s="3"/>
      <c r="AX3" s="4" t="s">
        <v>18</v>
      </c>
      <c r="AY3" s="3"/>
      <c r="AZ3" s="3"/>
      <c r="BA3" s="3"/>
      <c r="BB3" s="3"/>
    </row>
    <row r="4" spans="2:54" x14ac:dyDescent="0.25">
      <c r="B4" s="15"/>
      <c r="C4" s="15"/>
      <c r="D4" s="15"/>
      <c r="F4" s="15"/>
      <c r="G4" s="19"/>
      <c r="H4" s="19"/>
      <c r="I4" s="19"/>
      <c r="J4" s="15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</row>
    <row r="5" spans="2:54" ht="15" customHeight="1" x14ac:dyDescent="0.25">
      <c r="B5" s="31" t="s">
        <v>4</v>
      </c>
      <c r="C5" s="32"/>
      <c r="D5" s="16"/>
      <c r="E5" s="35" t="s">
        <v>29</v>
      </c>
      <c r="F5" s="16"/>
      <c r="G5" s="31" t="s">
        <v>19</v>
      </c>
      <c r="H5" s="43"/>
      <c r="I5" s="32"/>
      <c r="J5" s="16"/>
      <c r="K5" s="35" t="s">
        <v>20</v>
      </c>
      <c r="L5" s="36"/>
      <c r="M5" s="36"/>
      <c r="N5" s="36"/>
      <c r="O5" s="36"/>
      <c r="P5" s="36"/>
      <c r="Q5" s="36"/>
      <c r="R5" s="36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5" t="s">
        <v>6</v>
      </c>
      <c r="AV5" s="36"/>
      <c r="AW5" s="36"/>
      <c r="AX5" s="36"/>
      <c r="AY5" s="36"/>
      <c r="AZ5" s="36"/>
      <c r="BA5" s="36"/>
      <c r="BB5" s="36"/>
    </row>
    <row r="6" spans="2:54" x14ac:dyDescent="0.25">
      <c r="B6" s="33"/>
      <c r="C6" s="34"/>
      <c r="D6" s="17"/>
      <c r="E6" s="36"/>
      <c r="F6" s="17"/>
      <c r="G6" s="33"/>
      <c r="H6" s="44"/>
      <c r="I6" s="34"/>
      <c r="J6" s="17"/>
      <c r="K6" s="36"/>
      <c r="L6" s="36"/>
      <c r="M6" s="36"/>
      <c r="N6" s="36"/>
      <c r="O6" s="36"/>
      <c r="P6" s="36"/>
      <c r="Q6" s="36"/>
      <c r="R6" s="36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36"/>
      <c r="AV6" s="36"/>
      <c r="AW6" s="36"/>
      <c r="AX6" s="36"/>
      <c r="AY6" s="36"/>
      <c r="AZ6" s="36"/>
      <c r="BA6" s="36"/>
      <c r="BB6" s="36"/>
    </row>
    <row r="7" spans="2:54" ht="25.5" x14ac:dyDescent="0.25">
      <c r="B7" s="25" t="s">
        <v>7</v>
      </c>
      <c r="C7" s="25" t="s">
        <v>8</v>
      </c>
      <c r="D7" s="18"/>
      <c r="E7" s="26" t="s">
        <v>9</v>
      </c>
      <c r="F7" s="18"/>
      <c r="G7" s="28" t="s">
        <v>17</v>
      </c>
      <c r="H7" s="28" t="s">
        <v>13</v>
      </c>
      <c r="I7" s="28" t="s">
        <v>14</v>
      </c>
      <c r="J7" s="18"/>
      <c r="K7" s="7" t="s">
        <v>10</v>
      </c>
      <c r="L7" s="7" t="s">
        <v>11</v>
      </c>
      <c r="M7" s="7" t="s">
        <v>12</v>
      </c>
      <c r="N7" s="27" t="s">
        <v>15</v>
      </c>
      <c r="O7" s="7" t="s">
        <v>16</v>
      </c>
      <c r="P7" s="7" t="s">
        <v>12</v>
      </c>
      <c r="Q7" s="7" t="s">
        <v>13</v>
      </c>
      <c r="R7" s="7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12</v>
      </c>
      <c r="AX7" s="27" t="s">
        <v>15</v>
      </c>
      <c r="AY7" s="7" t="s">
        <v>16</v>
      </c>
      <c r="AZ7" s="7" t="s">
        <v>12</v>
      </c>
      <c r="BA7" s="7" t="s">
        <v>13</v>
      </c>
      <c r="BB7" s="7" t="s">
        <v>14</v>
      </c>
    </row>
    <row r="8" spans="2:54" x14ac:dyDescent="0.25">
      <c r="B8" s="16">
        <f>RANK(C8,C$8:C$8,0)</f>
        <v>1</v>
      </c>
      <c r="C8" s="16">
        <f>SUMIF($G$1:$BB$1,1,$G8:$BB8)</f>
        <v>600</v>
      </c>
      <c r="D8" s="14"/>
      <c r="E8" s="22" t="s">
        <v>58</v>
      </c>
      <c r="F8" s="14"/>
      <c r="G8" s="16">
        <f>35*9</f>
        <v>315</v>
      </c>
      <c r="H8" s="16">
        <f>RANK(G8,G$8:G$8,0)</f>
        <v>1</v>
      </c>
      <c r="I8" s="16">
        <f>VLOOKUP(H8,'Место-баллы'!$A$3:$B$52,2,0)</f>
        <v>100</v>
      </c>
      <c r="J8" s="14"/>
      <c r="K8" s="11">
        <v>13</v>
      </c>
      <c r="L8" s="11">
        <v>21</v>
      </c>
      <c r="M8" s="13">
        <f>TIME(0,K8,L8)</f>
        <v>9.2708333333333341E-3</v>
      </c>
      <c r="N8" s="11">
        <v>120</v>
      </c>
      <c r="O8" s="11">
        <f>N$2-N8</f>
        <v>0</v>
      </c>
      <c r="P8" s="13">
        <f>M8+TIME(0,0,O8)</f>
        <v>9.2708333333333341E-3</v>
      </c>
      <c r="Q8" s="11">
        <f>RANK(P8,P$8:P$8,1)</f>
        <v>1</v>
      </c>
      <c r="R8" s="16">
        <f>VLOOKUP(Q8,'Место-баллы'!$A$3:$B$52,2,0)</f>
        <v>100</v>
      </c>
      <c r="S8" s="12"/>
      <c r="T8" s="11">
        <v>9</v>
      </c>
      <c r="U8" s="11">
        <v>5</v>
      </c>
      <c r="V8" s="13">
        <f>TIME(0,T8,U8)</f>
        <v>6.3078703703703708E-3</v>
      </c>
      <c r="W8" s="11">
        <v>24</v>
      </c>
      <c r="X8" s="11">
        <f>W$2-W8</f>
        <v>21</v>
      </c>
      <c r="Y8" s="13">
        <f>V8+TIME(0,0,X8)</f>
        <v>6.5509259259259262E-3</v>
      </c>
      <c r="Z8" s="11">
        <f>RANK(Y8,Y$8:Y$8,1)</f>
        <v>1</v>
      </c>
      <c r="AA8" s="16">
        <f>VLOOKUP(Z8,'Место-баллы'!$A$3:$B$52,2,0)</f>
        <v>100</v>
      </c>
      <c r="AB8" s="12"/>
      <c r="AC8" s="11">
        <v>4</v>
      </c>
      <c r="AD8" s="11">
        <v>51</v>
      </c>
      <c r="AE8" s="13">
        <f>TIME(0,AC8,AD8)</f>
        <v>3.3680555555555551E-3</v>
      </c>
      <c r="AF8" s="11">
        <v>750</v>
      </c>
      <c r="AG8" s="11">
        <f>AF$2-AF8</f>
        <v>0</v>
      </c>
      <c r="AH8" s="13">
        <f>AE8+TIME(0,0,AG8)</f>
        <v>3.3680555555555551E-3</v>
      </c>
      <c r="AI8" s="11">
        <f>RANK(AH8,AH$8:AH$8,1)</f>
        <v>1</v>
      </c>
      <c r="AJ8" s="16">
        <f>VLOOKUP(AI8,'Место-баллы'!$A$3:$B$52,2,0)</f>
        <v>100</v>
      </c>
      <c r="AK8" s="12"/>
      <c r="AL8" s="11">
        <v>11</v>
      </c>
      <c r="AM8" s="11">
        <v>29</v>
      </c>
      <c r="AN8" s="13">
        <f>TIME(0,AL8,AM8)</f>
        <v>7.9745370370370369E-3</v>
      </c>
      <c r="AO8" s="11">
        <v>185</v>
      </c>
      <c r="AP8" s="11">
        <f>AO$2-AO8</f>
        <v>0</v>
      </c>
      <c r="AQ8" s="13">
        <f>AN8+TIME(0,0,AP8)</f>
        <v>7.9745370370370369E-3</v>
      </c>
      <c r="AR8" s="11">
        <f>RANK(AQ8,AQ$8:AQ$8,1)</f>
        <v>1</v>
      </c>
      <c r="AS8" s="16">
        <f>VLOOKUP(AR8,'Место-баллы'!$A$3:$B$52,2,0)</f>
        <v>100</v>
      </c>
      <c r="AT8" s="12"/>
      <c r="AU8" s="11">
        <v>6</v>
      </c>
      <c r="AV8" s="11">
        <v>5</v>
      </c>
      <c r="AW8" s="13">
        <f>TIME(0,AU8,AV8)</f>
        <v>4.2245370370370371E-3</v>
      </c>
      <c r="AX8" s="11">
        <f>55+12</f>
        <v>67</v>
      </c>
      <c r="AY8" s="11">
        <f>AX$2-AX8</f>
        <v>23</v>
      </c>
      <c r="AZ8" s="13">
        <f>AW8+TIME(0,0,AY8)</f>
        <v>4.4907407407407405E-3</v>
      </c>
      <c r="BA8" s="11">
        <f>RANK(AZ8,AZ$8:AZ$8,1)</f>
        <v>1</v>
      </c>
      <c r="BB8" s="16">
        <f>VLOOKUP(BA8,'Место-баллы'!$A$3:$B$52,2,0)</f>
        <v>100</v>
      </c>
    </row>
    <row r="9" spans="2:54" ht="18.75" customHeight="1" x14ac:dyDescent="0.25"/>
    <row r="10" spans="2:54" ht="18.75" customHeight="1" x14ac:dyDescent="0.25"/>
    <row r="11" spans="2:54" ht="18.75" customHeight="1" x14ac:dyDescent="0.25"/>
    <row r="12" spans="2:54" ht="18.75" customHeight="1" x14ac:dyDescent="0.25"/>
    <row r="13" spans="2:54" ht="18.75" customHeight="1" x14ac:dyDescent="0.25"/>
    <row r="14" spans="2:54" ht="18.75" customHeight="1" x14ac:dyDescent="0.25"/>
    <row r="15" spans="2:54" ht="18.75" customHeight="1" x14ac:dyDescent="0.25"/>
    <row r="16" spans="2:54" ht="18.75" customHeight="1" x14ac:dyDescent="0.25"/>
    <row r="17" ht="18.75" customHeight="1" x14ac:dyDescent="0.25"/>
    <row r="18" ht="18.75" customHeight="1" x14ac:dyDescent="0.25"/>
    <row r="19" ht="18.75" customHeight="1" x14ac:dyDescent="0.25"/>
    <row r="20" ht="18.75" customHeight="1" x14ac:dyDescent="0.25"/>
    <row r="21" ht="18.75" customHeight="1" x14ac:dyDescent="0.25"/>
    <row r="22" ht="18.75" customHeight="1" x14ac:dyDescent="0.25"/>
    <row r="23" ht="18.75" customHeight="1" x14ac:dyDescent="0.25"/>
    <row r="24" ht="18.75" customHeight="1" x14ac:dyDescent="0.25"/>
    <row r="25" ht="18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</sheetData>
  <mergeCells count="8">
    <mergeCell ref="AL5:AS6"/>
    <mergeCell ref="AU5:BB6"/>
    <mergeCell ref="G5:I6"/>
    <mergeCell ref="B5:C6"/>
    <mergeCell ref="E5:E6"/>
    <mergeCell ref="K5:R6"/>
    <mergeCell ref="T5:AA6"/>
    <mergeCell ref="AC5:AJ6"/>
  </mergeCells>
  <printOptions horizontalCentered="1" verticalCentered="1"/>
  <pageMargins left="0" right="0" top="0" bottom="0" header="0" footer="0"/>
  <pageSetup paperSize="9" scale="6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BB11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N14" sqref="N14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9.42578125" bestFit="1" customWidth="1"/>
    <col min="6" max="6" width="1.42578125" customWidth="1"/>
    <col min="7" max="7" width="5.570312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customWidth="1" collapsed="1"/>
    <col min="50" max="50" width="6.85546875" customWidth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</cols>
  <sheetData>
    <row r="1" spans="2:54" x14ac:dyDescent="0.25">
      <c r="B1" s="15"/>
      <c r="C1" s="15"/>
      <c r="D1" s="15"/>
      <c r="E1" s="8"/>
      <c r="F1" s="15"/>
      <c r="G1" s="19"/>
      <c r="H1" s="19"/>
      <c r="I1" s="20">
        <v>1</v>
      </c>
      <c r="J1" s="15"/>
      <c r="K1" s="3"/>
      <c r="L1" s="3"/>
      <c r="M1" s="3"/>
      <c r="N1" s="3"/>
      <c r="O1" s="3"/>
      <c r="P1" s="3"/>
      <c r="Q1" s="3"/>
      <c r="R1" s="1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U1" s="3"/>
      <c r="AV1" s="3"/>
      <c r="AW1" s="3"/>
      <c r="AX1" s="3"/>
      <c r="AY1" s="3"/>
      <c r="AZ1" s="3"/>
      <c r="BA1" s="3"/>
      <c r="BB1" s="10">
        <v>1</v>
      </c>
    </row>
    <row r="2" spans="2:54" x14ac:dyDescent="0.25">
      <c r="B2" s="15"/>
      <c r="C2" s="15"/>
      <c r="D2" s="15"/>
      <c r="E2" s="8"/>
      <c r="F2" s="15"/>
      <c r="G2" s="19"/>
      <c r="H2" s="19"/>
      <c r="I2" s="19"/>
      <c r="J2" s="15"/>
      <c r="K2" s="3"/>
      <c r="L2" s="3"/>
      <c r="M2" s="3"/>
      <c r="N2" s="21">
        <f>4*30</f>
        <v>120</v>
      </c>
      <c r="O2" s="3"/>
      <c r="P2" s="3"/>
      <c r="Q2" s="3"/>
      <c r="R2" s="3"/>
      <c r="T2" s="3"/>
      <c r="U2" s="3"/>
      <c r="V2" s="3"/>
      <c r="W2" s="21">
        <f>3*(3+10+2)</f>
        <v>45</v>
      </c>
      <c r="X2" s="3"/>
      <c r="Y2" s="3"/>
      <c r="Z2" s="3"/>
      <c r="AA2" s="3"/>
      <c r="AC2" s="3"/>
      <c r="AD2" s="3"/>
      <c r="AE2" s="3"/>
      <c r="AF2" s="21">
        <v>950</v>
      </c>
      <c r="AG2" s="3"/>
      <c r="AH2" s="3"/>
      <c r="AI2" s="3"/>
      <c r="AJ2" s="3"/>
      <c r="AL2" s="3"/>
      <c r="AM2" s="3"/>
      <c r="AN2" s="3"/>
      <c r="AO2" s="21">
        <v>200</v>
      </c>
      <c r="AP2" s="3"/>
      <c r="AQ2" s="3"/>
      <c r="AR2" s="3"/>
      <c r="AS2" s="3"/>
      <c r="AU2" s="3"/>
      <c r="AV2" s="3"/>
      <c r="AW2" s="3"/>
      <c r="AX2" s="21">
        <f>20+20+15+15+10+10</f>
        <v>90</v>
      </c>
      <c r="AY2" s="3"/>
      <c r="AZ2" s="3"/>
      <c r="BA2" s="3"/>
      <c r="BB2" s="3"/>
    </row>
    <row r="3" spans="2:54" x14ac:dyDescent="0.25">
      <c r="B3" s="15"/>
      <c r="C3" s="15"/>
      <c r="D3" s="15"/>
      <c r="E3" s="8"/>
      <c r="F3" s="15"/>
      <c r="G3" s="19"/>
      <c r="H3" s="19"/>
      <c r="I3" s="19"/>
      <c r="J3" s="15"/>
      <c r="K3" s="3"/>
      <c r="L3" s="3"/>
      <c r="M3" s="3"/>
      <c r="N3" s="4" t="s">
        <v>30</v>
      </c>
      <c r="O3" s="3"/>
      <c r="P3" s="3"/>
      <c r="Q3" s="3"/>
      <c r="R3" s="3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U3" s="3"/>
      <c r="AV3" s="3"/>
      <c r="AW3" s="3"/>
      <c r="AX3" s="4" t="s">
        <v>18</v>
      </c>
      <c r="AY3" s="3"/>
      <c r="AZ3" s="3"/>
      <c r="BA3" s="3"/>
      <c r="BB3" s="3"/>
    </row>
    <row r="4" spans="2:54" x14ac:dyDescent="0.25">
      <c r="B4" s="15"/>
      <c r="C4" s="15"/>
      <c r="D4" s="15"/>
      <c r="F4" s="15"/>
      <c r="G4" s="19"/>
      <c r="H4" s="19"/>
      <c r="I4" s="19"/>
      <c r="J4" s="15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</row>
    <row r="5" spans="2:54" ht="15" customHeight="1" x14ac:dyDescent="0.25">
      <c r="B5" s="31" t="s">
        <v>4</v>
      </c>
      <c r="C5" s="32"/>
      <c r="D5" s="16"/>
      <c r="E5" s="35" t="s">
        <v>31</v>
      </c>
      <c r="F5" s="16"/>
      <c r="G5" s="31" t="s">
        <v>19</v>
      </c>
      <c r="H5" s="43"/>
      <c r="I5" s="32"/>
      <c r="J5" s="16"/>
      <c r="K5" s="35" t="s">
        <v>20</v>
      </c>
      <c r="L5" s="36"/>
      <c r="M5" s="36"/>
      <c r="N5" s="36"/>
      <c r="O5" s="36"/>
      <c r="P5" s="36"/>
      <c r="Q5" s="36"/>
      <c r="R5" s="36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5" t="s">
        <v>6</v>
      </c>
      <c r="AV5" s="36"/>
      <c r="AW5" s="36"/>
      <c r="AX5" s="36"/>
      <c r="AY5" s="36"/>
      <c r="AZ5" s="36"/>
      <c r="BA5" s="36"/>
      <c r="BB5" s="36"/>
    </row>
    <row r="6" spans="2:54" x14ac:dyDescent="0.25">
      <c r="B6" s="33"/>
      <c r="C6" s="34"/>
      <c r="D6" s="17"/>
      <c r="E6" s="36"/>
      <c r="F6" s="17"/>
      <c r="G6" s="33"/>
      <c r="H6" s="44"/>
      <c r="I6" s="34"/>
      <c r="J6" s="17"/>
      <c r="K6" s="36"/>
      <c r="L6" s="36"/>
      <c r="M6" s="36"/>
      <c r="N6" s="36"/>
      <c r="O6" s="36"/>
      <c r="P6" s="36"/>
      <c r="Q6" s="36"/>
      <c r="R6" s="36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36"/>
      <c r="AV6" s="36"/>
      <c r="AW6" s="36"/>
      <c r="AX6" s="36"/>
      <c r="AY6" s="36"/>
      <c r="AZ6" s="36"/>
      <c r="BA6" s="36"/>
      <c r="BB6" s="36"/>
    </row>
    <row r="7" spans="2:54" ht="25.5" x14ac:dyDescent="0.25">
      <c r="B7" s="25" t="s">
        <v>7</v>
      </c>
      <c r="C7" s="25" t="s">
        <v>8</v>
      </c>
      <c r="D7" s="18"/>
      <c r="E7" s="26" t="s">
        <v>9</v>
      </c>
      <c r="F7" s="18"/>
      <c r="G7" s="28" t="s">
        <v>17</v>
      </c>
      <c r="H7" s="28" t="s">
        <v>13</v>
      </c>
      <c r="I7" s="28" t="s">
        <v>14</v>
      </c>
      <c r="J7" s="18"/>
      <c r="K7" s="7" t="s">
        <v>10</v>
      </c>
      <c r="L7" s="7" t="s">
        <v>11</v>
      </c>
      <c r="M7" s="7" t="s">
        <v>12</v>
      </c>
      <c r="N7" s="27" t="s">
        <v>15</v>
      </c>
      <c r="O7" s="7" t="s">
        <v>16</v>
      </c>
      <c r="P7" s="7" t="s">
        <v>12</v>
      </c>
      <c r="Q7" s="7" t="s">
        <v>13</v>
      </c>
      <c r="R7" s="7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12</v>
      </c>
      <c r="AX7" s="27" t="s">
        <v>15</v>
      </c>
      <c r="AY7" s="7" t="s">
        <v>16</v>
      </c>
      <c r="AZ7" s="7" t="s">
        <v>12</v>
      </c>
      <c r="BA7" s="7" t="s">
        <v>13</v>
      </c>
      <c r="BB7" s="7" t="s">
        <v>14</v>
      </c>
    </row>
    <row r="8" spans="2:54" x14ac:dyDescent="0.25">
      <c r="B8" s="16">
        <f>RANK(C8,C$8:C$11,0)</f>
        <v>1</v>
      </c>
      <c r="C8" s="16">
        <f>SUMIF($G$1:$BB$1,1,$G8:$BB8)</f>
        <v>600</v>
      </c>
      <c r="D8" s="14"/>
      <c r="E8" s="22" t="s">
        <v>45</v>
      </c>
      <c r="F8" s="14"/>
      <c r="G8" s="16">
        <f>60*12</f>
        <v>720</v>
      </c>
      <c r="H8" s="16">
        <f>RANK(G8,G$8:G$11,0)</f>
        <v>1</v>
      </c>
      <c r="I8" s="16">
        <f>VLOOKUP(H8,'Место-баллы'!$A$3:$B$52,2,0)</f>
        <v>100</v>
      </c>
      <c r="J8" s="14"/>
      <c r="K8" s="11">
        <v>10</v>
      </c>
      <c r="L8" s="11">
        <v>3</v>
      </c>
      <c r="M8" s="13">
        <f>TIME(0,K8,L8)</f>
        <v>6.9791666666666674E-3</v>
      </c>
      <c r="N8" s="11">
        <v>120</v>
      </c>
      <c r="O8" s="11">
        <f>N$2-N8</f>
        <v>0</v>
      </c>
      <c r="P8" s="13">
        <f>M8+TIME(0,0,O8)</f>
        <v>6.9791666666666674E-3</v>
      </c>
      <c r="Q8" s="11">
        <f>RANK(P8,P$8:P$11,1)</f>
        <v>1</v>
      </c>
      <c r="R8" s="16">
        <f>VLOOKUP(Q8,'Место-баллы'!$A$3:$B$52,2,0)</f>
        <v>100</v>
      </c>
      <c r="S8" s="12"/>
      <c r="T8" s="11">
        <v>7</v>
      </c>
      <c r="U8" s="11">
        <v>24</v>
      </c>
      <c r="V8" s="13">
        <f>TIME(0,T8,U8)</f>
        <v>5.138888888888889E-3</v>
      </c>
      <c r="W8" s="11">
        <v>45</v>
      </c>
      <c r="X8" s="11">
        <f>W$2-W8</f>
        <v>0</v>
      </c>
      <c r="Y8" s="13">
        <f>V8+TIME(0,0,X8)</f>
        <v>5.138888888888889E-3</v>
      </c>
      <c r="Z8" s="11">
        <f>RANK(Y8,Y$8:Y$11,1)</f>
        <v>1</v>
      </c>
      <c r="AA8" s="16">
        <f>VLOOKUP(Z8,'Место-баллы'!$A$3:$B$52,2,0)</f>
        <v>100</v>
      </c>
      <c r="AB8" s="12"/>
      <c r="AC8" s="11">
        <v>5</v>
      </c>
      <c r="AD8" s="11">
        <v>6</v>
      </c>
      <c r="AE8" s="13">
        <f>TIME(0,AC8,AD8)</f>
        <v>3.5416666666666665E-3</v>
      </c>
      <c r="AF8" s="11">
        <v>950</v>
      </c>
      <c r="AG8" s="11">
        <f>AF$2-AF8</f>
        <v>0</v>
      </c>
      <c r="AH8" s="13">
        <f>AE8+TIME(0,0,AG8)</f>
        <v>3.5416666666666665E-3</v>
      </c>
      <c r="AI8" s="11">
        <f>RANK(AH8,AH$8:AH$11,1)</f>
        <v>1</v>
      </c>
      <c r="AJ8" s="16">
        <f>VLOOKUP(AI8,'Место-баллы'!$A$3:$B$52,2,0)</f>
        <v>100</v>
      </c>
      <c r="AK8" s="12"/>
      <c r="AL8" s="11">
        <v>11</v>
      </c>
      <c r="AM8" s="11">
        <v>54</v>
      </c>
      <c r="AN8" s="13">
        <f>TIME(0,AL8,AM8)</f>
        <v>8.2638888888888883E-3</v>
      </c>
      <c r="AO8" s="11">
        <v>200</v>
      </c>
      <c r="AP8" s="11">
        <f>AO$2-AO8</f>
        <v>0</v>
      </c>
      <c r="AQ8" s="13">
        <f>AN8+TIME(0,0,AP8)</f>
        <v>8.2638888888888883E-3</v>
      </c>
      <c r="AR8" s="11">
        <f>RANK(AQ8,AQ$8:AQ$11,1)</f>
        <v>1</v>
      </c>
      <c r="AS8" s="16">
        <f>VLOOKUP(AR8,'Место-баллы'!$A$3:$B$52,2,0)</f>
        <v>100</v>
      </c>
      <c r="AT8" s="12"/>
      <c r="AU8" s="11">
        <v>5</v>
      </c>
      <c r="AV8" s="11">
        <v>0</v>
      </c>
      <c r="AW8" s="13">
        <f>TIME(0,AU8,AV8)</f>
        <v>3.472222222222222E-3</v>
      </c>
      <c r="AX8" s="11">
        <v>90</v>
      </c>
      <c r="AY8" s="11">
        <f>AX$2-AX8</f>
        <v>0</v>
      </c>
      <c r="AZ8" s="13">
        <f>AW8+TIME(0,0,AY8)</f>
        <v>3.472222222222222E-3</v>
      </c>
      <c r="BA8" s="11">
        <f>RANK(AZ8,AZ$8:AZ$11,1)</f>
        <v>1</v>
      </c>
      <c r="BB8" s="16">
        <f>VLOOKUP(BA8,'Место-баллы'!$A$3:$B$52,2,0)</f>
        <v>100</v>
      </c>
    </row>
    <row r="9" spans="2:54" x14ac:dyDescent="0.25">
      <c r="B9" s="16">
        <f>RANK(C9,C$8:C$11,0)</f>
        <v>2</v>
      </c>
      <c r="C9" s="16">
        <f>SUMIF($G$1:$BB$1,1,$G9:$BB9)</f>
        <v>560</v>
      </c>
      <c r="D9" s="14"/>
      <c r="E9" s="9" t="s">
        <v>47</v>
      </c>
      <c r="F9" s="14"/>
      <c r="G9" s="16">
        <f>52*12</f>
        <v>624</v>
      </c>
      <c r="H9" s="16">
        <f>RANK(G9,G$8:G$11,0)</f>
        <v>2</v>
      </c>
      <c r="I9" s="16">
        <f>VLOOKUP(H9,'Место-баллы'!$A$3:$B$52,2,0)</f>
        <v>95</v>
      </c>
      <c r="J9" s="14"/>
      <c r="K9" s="11">
        <v>14</v>
      </c>
      <c r="L9" s="11">
        <v>15</v>
      </c>
      <c r="M9" s="13">
        <f>TIME(0,K9,L9)</f>
        <v>9.8958333333333329E-3</v>
      </c>
      <c r="N9" s="11">
        <v>120</v>
      </c>
      <c r="O9" s="11">
        <f>N$2-N9</f>
        <v>0</v>
      </c>
      <c r="P9" s="13">
        <f>M9+TIME(0,0,O9)</f>
        <v>9.8958333333333329E-3</v>
      </c>
      <c r="Q9" s="11">
        <f>RANK(P9,P$8:P$11,1)</f>
        <v>2</v>
      </c>
      <c r="R9" s="16">
        <f>VLOOKUP(Q9,'Место-баллы'!$A$3:$B$52,2,0)</f>
        <v>95</v>
      </c>
      <c r="S9" s="12"/>
      <c r="T9" s="11">
        <v>9</v>
      </c>
      <c r="U9" s="11">
        <v>5</v>
      </c>
      <c r="V9" s="13">
        <f>TIME(0,T9,U9)</f>
        <v>6.3078703703703708E-3</v>
      </c>
      <c r="W9" s="11">
        <v>29</v>
      </c>
      <c r="X9" s="11">
        <f>W$2-W9</f>
        <v>16</v>
      </c>
      <c r="Y9" s="13">
        <f>V9+TIME(0,0,X9)</f>
        <v>6.4930555555555557E-3</v>
      </c>
      <c r="Z9" s="11">
        <f>RANK(Y9,Y$8:Y$11,1)</f>
        <v>2</v>
      </c>
      <c r="AA9" s="16">
        <f>VLOOKUP(Z9,'Место-баллы'!$A$3:$B$52,2,0)</f>
        <v>95</v>
      </c>
      <c r="AB9" s="12"/>
      <c r="AC9" s="11">
        <v>6</v>
      </c>
      <c r="AD9" s="11">
        <v>2</v>
      </c>
      <c r="AE9" s="13">
        <f>TIME(0,AC9,AD9)</f>
        <v>4.1898148148148146E-3</v>
      </c>
      <c r="AF9" s="11">
        <v>950</v>
      </c>
      <c r="AG9" s="11">
        <f>AF$2-AF9</f>
        <v>0</v>
      </c>
      <c r="AH9" s="13">
        <f>AE9+TIME(0,0,AG9)</f>
        <v>4.1898148148148146E-3</v>
      </c>
      <c r="AI9" s="11">
        <f>RANK(AH9,AH$8:AH$11,1)</f>
        <v>3</v>
      </c>
      <c r="AJ9" s="16">
        <f>VLOOKUP(AI9,'Место-баллы'!$A$3:$B$52,2,0)</f>
        <v>90</v>
      </c>
      <c r="AK9" s="12"/>
      <c r="AL9" s="11">
        <v>12</v>
      </c>
      <c r="AM9" s="11">
        <v>5</v>
      </c>
      <c r="AN9" s="13">
        <f>TIME(0,AL9,AM9)</f>
        <v>8.3912037037037045E-3</v>
      </c>
      <c r="AO9" s="11">
        <v>119</v>
      </c>
      <c r="AP9" s="11">
        <f>AO$2-AO9</f>
        <v>81</v>
      </c>
      <c r="AQ9" s="13">
        <f>AN9+TIME(0,0,AP9)</f>
        <v>9.3287037037037054E-3</v>
      </c>
      <c r="AR9" s="11">
        <f>RANK(AQ9,AQ$8:AQ$11,1)</f>
        <v>3</v>
      </c>
      <c r="AS9" s="16">
        <f>VLOOKUP(AR9,'Место-баллы'!$A$3:$B$52,2,0)</f>
        <v>90</v>
      </c>
      <c r="AT9" s="12"/>
      <c r="AU9" s="11">
        <v>6</v>
      </c>
      <c r="AV9" s="11">
        <v>5</v>
      </c>
      <c r="AW9" s="13">
        <f>TIME(0,AU9,AV9)</f>
        <v>4.2245370370370371E-3</v>
      </c>
      <c r="AX9" s="11">
        <v>62</v>
      </c>
      <c r="AY9" s="11">
        <f>AX$2-AX9</f>
        <v>28</v>
      </c>
      <c r="AZ9" s="13">
        <f>AW9+TIME(0,0,AY9)</f>
        <v>4.5486111111111109E-3</v>
      </c>
      <c r="BA9" s="11">
        <f>RANK(AZ9,AZ$8:AZ$11,1)</f>
        <v>2</v>
      </c>
      <c r="BB9" s="16">
        <f>VLOOKUP(BA9,'Место-баллы'!$A$3:$B$52,2,0)</f>
        <v>95</v>
      </c>
    </row>
    <row r="10" spans="2:54" x14ac:dyDescent="0.25">
      <c r="B10" s="16">
        <f>RANK(C10,C$8:C$11,0)</f>
        <v>3</v>
      </c>
      <c r="C10" s="16">
        <f>SUMIF($G$1:$BB$1,1,$G10:$BB10)</f>
        <v>540</v>
      </c>
      <c r="D10" s="14"/>
      <c r="E10" s="9" t="s">
        <v>48</v>
      </c>
      <c r="F10" s="14"/>
      <c r="G10" s="16">
        <f>55*9</f>
        <v>495</v>
      </c>
      <c r="H10" s="16">
        <f>RANK(G10,G$8:G$11,0)</f>
        <v>4</v>
      </c>
      <c r="I10" s="16">
        <f>VLOOKUP(H10,'Место-баллы'!$A$3:$B$52,2,0)</f>
        <v>85</v>
      </c>
      <c r="J10" s="14"/>
      <c r="K10" s="11">
        <v>15</v>
      </c>
      <c r="L10" s="11">
        <v>5</v>
      </c>
      <c r="M10" s="13">
        <f>TIME(0,K10,L10)</f>
        <v>1.0474537037037037E-2</v>
      </c>
      <c r="N10" s="11">
        <v>119</v>
      </c>
      <c r="O10" s="11">
        <f>N$2-N10</f>
        <v>1</v>
      </c>
      <c r="P10" s="13">
        <f>M10+TIME(0,0,O10)</f>
        <v>1.0486111111111111E-2</v>
      </c>
      <c r="Q10" s="11">
        <f>RANK(P10,P$8:P$11,1)</f>
        <v>3</v>
      </c>
      <c r="R10" s="16">
        <f>VLOOKUP(Q10,'Место-баллы'!$A$3:$B$52,2,0)</f>
        <v>90</v>
      </c>
      <c r="S10" s="12"/>
      <c r="T10" s="11">
        <v>9</v>
      </c>
      <c r="U10" s="11">
        <v>5</v>
      </c>
      <c r="V10" s="13">
        <f>TIME(0,T10,U10)</f>
        <v>6.3078703703703708E-3</v>
      </c>
      <c r="W10" s="11">
        <v>26</v>
      </c>
      <c r="X10" s="11">
        <f>W$2-W10</f>
        <v>19</v>
      </c>
      <c r="Y10" s="13">
        <f>V10+TIME(0,0,X10)</f>
        <v>6.5277777777777782E-3</v>
      </c>
      <c r="Z10" s="11">
        <f>RANK(Y10,Y$8:Y$11,1)</f>
        <v>3</v>
      </c>
      <c r="AA10" s="16">
        <f>VLOOKUP(Z10,'Место-баллы'!$A$3:$B$52,2,0)</f>
        <v>90</v>
      </c>
      <c r="AB10" s="12"/>
      <c r="AC10" s="11">
        <v>5</v>
      </c>
      <c r="AD10" s="11">
        <v>46</v>
      </c>
      <c r="AE10" s="13">
        <f>TIME(0,AC10,AD10)</f>
        <v>4.0046296296296297E-3</v>
      </c>
      <c r="AF10" s="11">
        <v>950</v>
      </c>
      <c r="AG10" s="11">
        <f>AF$2-AF10</f>
        <v>0</v>
      </c>
      <c r="AH10" s="13">
        <f>AE10+TIME(0,0,AG10)</f>
        <v>4.0046296296296297E-3</v>
      </c>
      <c r="AI10" s="11">
        <f>RANK(AH10,AH$8:AH$11,1)</f>
        <v>2</v>
      </c>
      <c r="AJ10" s="16">
        <f>VLOOKUP(AI10,'Место-баллы'!$A$3:$B$52,2,0)</f>
        <v>95</v>
      </c>
      <c r="AK10" s="12"/>
      <c r="AL10" s="11">
        <v>12</v>
      </c>
      <c r="AM10" s="11">
        <v>5</v>
      </c>
      <c r="AN10" s="13">
        <f>TIME(0,AL10,AM10)</f>
        <v>8.3912037037037045E-3</v>
      </c>
      <c r="AO10" s="11">
        <v>152</v>
      </c>
      <c r="AP10" s="11">
        <f>AO$2-AO10</f>
        <v>48</v>
      </c>
      <c r="AQ10" s="13">
        <f>AN10+TIME(0,0,AP10)</f>
        <v>8.9467592592592602E-3</v>
      </c>
      <c r="AR10" s="11">
        <f>RANK(AQ10,AQ$8:AQ$11,1)</f>
        <v>2</v>
      </c>
      <c r="AS10" s="16">
        <f>VLOOKUP(AR10,'Место-баллы'!$A$3:$B$52,2,0)</f>
        <v>95</v>
      </c>
      <c r="AT10" s="12"/>
      <c r="AU10" s="11">
        <v>6</v>
      </c>
      <c r="AV10" s="11">
        <v>5</v>
      </c>
      <c r="AW10" s="13">
        <f>TIME(0,AU10,AV10)</f>
        <v>4.2245370370370371E-3</v>
      </c>
      <c r="AX10" s="11">
        <v>59</v>
      </c>
      <c r="AY10" s="11">
        <f>AX$2-AX10</f>
        <v>31</v>
      </c>
      <c r="AZ10" s="13">
        <f>AW10+TIME(0,0,AY10)</f>
        <v>4.5833333333333334E-3</v>
      </c>
      <c r="BA10" s="11">
        <f>RANK(AZ10,AZ$8:AZ$11,1)</f>
        <v>4</v>
      </c>
      <c r="BB10" s="16">
        <f>VLOOKUP(BA10,'Место-баллы'!$A$3:$B$52,2,0)</f>
        <v>85</v>
      </c>
    </row>
    <row r="11" spans="2:54" x14ac:dyDescent="0.25">
      <c r="B11" s="16">
        <f>RANK(C11,C$8:C$11,0)</f>
        <v>4</v>
      </c>
      <c r="C11" s="16">
        <f>SUMIF($G$1:$BB$1,1,$G11:$BB11)</f>
        <v>520</v>
      </c>
      <c r="D11" s="14"/>
      <c r="E11" s="9" t="s">
        <v>46</v>
      </c>
      <c r="F11" s="14"/>
      <c r="G11" s="16">
        <f>57*9</f>
        <v>513</v>
      </c>
      <c r="H11" s="16">
        <f>RANK(G11,G$8:G$11,0)</f>
        <v>3</v>
      </c>
      <c r="I11" s="16">
        <f>VLOOKUP(H11,'Место-баллы'!$A$3:$B$52,2,0)</f>
        <v>90</v>
      </c>
      <c r="J11" s="14"/>
      <c r="K11" s="11">
        <v>15</v>
      </c>
      <c r="L11" s="11">
        <v>5</v>
      </c>
      <c r="M11" s="13">
        <f>TIME(0,K11,L11)</f>
        <v>1.0474537037037037E-2</v>
      </c>
      <c r="N11" s="11">
        <v>109</v>
      </c>
      <c r="O11" s="11">
        <f>N$2-N11</f>
        <v>11</v>
      </c>
      <c r="P11" s="13">
        <f>M11+TIME(0,0,O11)</f>
        <v>1.0601851851851852E-2</v>
      </c>
      <c r="Q11" s="11">
        <f>RANK(P11,P$8:P$11,1)</f>
        <v>4</v>
      </c>
      <c r="R11" s="16">
        <f>VLOOKUP(Q11,'Место-баллы'!$A$3:$B$52,2,0)</f>
        <v>85</v>
      </c>
      <c r="S11" s="12"/>
      <c r="T11" s="11">
        <v>9</v>
      </c>
      <c r="U11" s="11">
        <v>5</v>
      </c>
      <c r="V11" s="13">
        <f>TIME(0,T11,U11)</f>
        <v>6.3078703703703708E-3</v>
      </c>
      <c r="W11" s="11">
        <v>14</v>
      </c>
      <c r="X11" s="11">
        <f>W$2-W11</f>
        <v>31</v>
      </c>
      <c r="Y11" s="13">
        <f>V11+TIME(0,0,X11)</f>
        <v>6.6666666666666671E-3</v>
      </c>
      <c r="Z11" s="11">
        <f>RANK(Y11,Y$8:Y$11,1)</f>
        <v>4</v>
      </c>
      <c r="AA11" s="16">
        <f>VLOOKUP(Z11,'Место-баллы'!$A$3:$B$52,2,0)</f>
        <v>85</v>
      </c>
      <c r="AB11" s="12"/>
      <c r="AC11" s="11">
        <v>6</v>
      </c>
      <c r="AD11" s="11">
        <v>6</v>
      </c>
      <c r="AE11" s="13">
        <f>TIME(0,AC11,AD11)</f>
        <v>4.2361111111111106E-3</v>
      </c>
      <c r="AF11" s="11">
        <v>950</v>
      </c>
      <c r="AG11" s="11">
        <f>AF$2-AF11</f>
        <v>0</v>
      </c>
      <c r="AH11" s="13">
        <f>AE11+TIME(0,0,AG11)</f>
        <v>4.2361111111111106E-3</v>
      </c>
      <c r="AI11" s="11">
        <f>RANK(AH11,AH$8:AH$11,1)</f>
        <v>4</v>
      </c>
      <c r="AJ11" s="16">
        <f>VLOOKUP(AI11,'Место-баллы'!$A$3:$B$52,2,0)</f>
        <v>85</v>
      </c>
      <c r="AK11" s="12"/>
      <c r="AL11" s="11">
        <v>12</v>
      </c>
      <c r="AM11" s="11">
        <v>5</v>
      </c>
      <c r="AN11" s="13">
        <f>TIME(0,AL11,AM11)</f>
        <v>8.3912037037037045E-3</v>
      </c>
      <c r="AO11" s="11">
        <v>72</v>
      </c>
      <c r="AP11" s="11">
        <f>AO$2-AO11</f>
        <v>128</v>
      </c>
      <c r="AQ11" s="13">
        <f>AN11+TIME(0,0,AP11)</f>
        <v>9.8726851851851857E-3</v>
      </c>
      <c r="AR11" s="11">
        <f>RANK(AQ11,AQ$8:AQ$11,1)</f>
        <v>4</v>
      </c>
      <c r="AS11" s="16">
        <f>VLOOKUP(AR11,'Место-баллы'!$A$3:$B$52,2,0)</f>
        <v>85</v>
      </c>
      <c r="AT11" s="12"/>
      <c r="AU11" s="11">
        <v>6</v>
      </c>
      <c r="AV11" s="11">
        <v>5</v>
      </c>
      <c r="AW11" s="13">
        <f>TIME(0,AU11,AV11)</f>
        <v>4.2245370370370371E-3</v>
      </c>
      <c r="AX11" s="11">
        <v>60</v>
      </c>
      <c r="AY11" s="11">
        <f>AX$2-AX11</f>
        <v>30</v>
      </c>
      <c r="AZ11" s="13">
        <f>AW11+TIME(0,0,AY11)</f>
        <v>4.5717592592592589E-3</v>
      </c>
      <c r="BA11" s="11">
        <f>RANK(AZ11,AZ$8:AZ$11,1)</f>
        <v>3</v>
      </c>
      <c r="BB11" s="16">
        <f>VLOOKUP(BA11,'Место-баллы'!$A$3:$B$52,2,0)</f>
        <v>90</v>
      </c>
    </row>
  </sheetData>
  <autoFilter ref="B7:BB7" xr:uid="{00000000-0001-0000-0600-000000000000}">
    <sortState xmlns:xlrd2="http://schemas.microsoft.com/office/spreadsheetml/2017/richdata2" ref="B8:BB11">
      <sortCondition ref="B7"/>
    </sortState>
  </autoFilter>
  <mergeCells count="8">
    <mergeCell ref="AL5:AS6"/>
    <mergeCell ref="AU5:BB6"/>
    <mergeCell ref="B5:C6"/>
    <mergeCell ref="E5:E6"/>
    <mergeCell ref="G5:I6"/>
    <mergeCell ref="K5:R6"/>
    <mergeCell ref="T5:AA6"/>
    <mergeCell ref="AC5:AJ6"/>
  </mergeCells>
  <printOptions horizontalCentered="1" verticalCentered="1"/>
  <pageMargins left="0" right="0" top="0" bottom="0" header="0" footer="0"/>
  <pageSetup paperSize="9" scale="67" orientation="landscape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BB71"/>
  <sheetViews>
    <sheetView zoomScaleNormal="100" workbookViewId="0">
      <selection activeCell="N15" sqref="N15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22.28515625" bestFit="1" customWidth="1"/>
    <col min="6" max="6" width="1.42578125" customWidth="1"/>
    <col min="7" max="7" width="5.570312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customWidth="1" collapsed="1"/>
    <col min="50" max="50" width="6.85546875" customWidth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</cols>
  <sheetData>
    <row r="1" spans="2:54" x14ac:dyDescent="0.25">
      <c r="B1" s="15"/>
      <c r="C1" s="15"/>
      <c r="D1" s="15"/>
      <c r="E1" s="8"/>
      <c r="F1" s="15"/>
      <c r="G1" s="19"/>
      <c r="H1" s="19"/>
      <c r="I1" s="20">
        <v>0</v>
      </c>
      <c r="J1" s="15"/>
      <c r="K1" s="3"/>
      <c r="L1" s="3"/>
      <c r="M1" s="3"/>
      <c r="N1" s="3"/>
      <c r="O1" s="3"/>
      <c r="P1" s="3"/>
      <c r="Q1" s="3"/>
      <c r="R1" s="10">
        <v>0</v>
      </c>
      <c r="T1" s="3"/>
      <c r="U1" s="3"/>
      <c r="V1" s="3"/>
      <c r="W1" s="3"/>
      <c r="X1" s="3"/>
      <c r="Y1" s="3"/>
      <c r="Z1" s="3"/>
      <c r="AA1" s="10">
        <v>0</v>
      </c>
      <c r="AC1" s="3"/>
      <c r="AD1" s="3"/>
      <c r="AE1" s="3"/>
      <c r="AF1" s="3"/>
      <c r="AG1" s="3"/>
      <c r="AH1" s="3"/>
      <c r="AI1" s="3"/>
      <c r="AJ1" s="10">
        <v>0</v>
      </c>
      <c r="AL1" s="3"/>
      <c r="AM1" s="3"/>
      <c r="AN1" s="3"/>
      <c r="AO1" s="3"/>
      <c r="AP1" s="3"/>
      <c r="AQ1" s="3"/>
      <c r="AR1" s="3"/>
      <c r="AS1" s="10">
        <v>0</v>
      </c>
      <c r="AU1" s="3"/>
      <c r="AV1" s="3"/>
      <c r="AW1" s="3"/>
      <c r="AX1" s="3"/>
      <c r="AY1" s="3"/>
      <c r="AZ1" s="3"/>
      <c r="BA1" s="3"/>
      <c r="BB1" s="10">
        <v>0</v>
      </c>
    </row>
    <row r="2" spans="2:54" x14ac:dyDescent="0.25">
      <c r="B2" s="15"/>
      <c r="C2" s="15"/>
      <c r="D2" s="15"/>
      <c r="E2" s="8"/>
      <c r="F2" s="15"/>
      <c r="G2" s="19"/>
      <c r="H2" s="19"/>
      <c r="I2" s="19"/>
      <c r="J2" s="15"/>
      <c r="K2" s="3"/>
      <c r="L2" s="3"/>
      <c r="M2" s="3"/>
      <c r="N2" s="21">
        <f>4*30</f>
        <v>120</v>
      </c>
      <c r="O2" s="3"/>
      <c r="P2" s="3"/>
      <c r="Q2" s="3"/>
      <c r="R2" s="3"/>
      <c r="T2" s="3"/>
      <c r="U2" s="3"/>
      <c r="V2" s="3"/>
      <c r="W2" s="21">
        <f>3*(3+10+3)</f>
        <v>48</v>
      </c>
      <c r="X2" s="3"/>
      <c r="Y2" s="3"/>
      <c r="Z2" s="3"/>
      <c r="AA2" s="3"/>
      <c r="AC2" s="3"/>
      <c r="AD2" s="3"/>
      <c r="AE2" s="3"/>
      <c r="AF2" s="21">
        <v>950</v>
      </c>
      <c r="AG2" s="3"/>
      <c r="AH2" s="3"/>
      <c r="AI2" s="3"/>
      <c r="AJ2" s="3"/>
      <c r="AL2" s="3"/>
      <c r="AM2" s="3"/>
      <c r="AN2" s="3"/>
      <c r="AO2" s="21">
        <v>190</v>
      </c>
      <c r="AP2" s="3"/>
      <c r="AQ2" s="3"/>
      <c r="AR2" s="3"/>
      <c r="AS2" s="3"/>
      <c r="AU2" s="3"/>
      <c r="AV2" s="3"/>
      <c r="AW2" s="3"/>
      <c r="AX2" s="21">
        <f>20+20+15+15+10+10</f>
        <v>90</v>
      </c>
      <c r="AY2" s="3"/>
      <c r="AZ2" s="3"/>
      <c r="BA2" s="3"/>
      <c r="BB2" s="3"/>
    </row>
    <row r="3" spans="2:54" x14ac:dyDescent="0.25">
      <c r="B3" s="15"/>
      <c r="C3" s="15"/>
      <c r="D3" s="15"/>
      <c r="E3" s="8"/>
      <c r="F3" s="15"/>
      <c r="G3" s="19"/>
      <c r="H3" s="19"/>
      <c r="I3" s="19"/>
      <c r="J3" s="15"/>
      <c r="K3" s="3"/>
      <c r="L3" s="3"/>
      <c r="M3" s="3"/>
      <c r="N3" s="4" t="s">
        <v>30</v>
      </c>
      <c r="O3" s="3"/>
      <c r="P3" s="3"/>
      <c r="Q3" s="3"/>
      <c r="R3" s="3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U3" s="3"/>
      <c r="AV3" s="3"/>
      <c r="AW3" s="3"/>
      <c r="AX3" s="4" t="s">
        <v>18</v>
      </c>
      <c r="AY3" s="3"/>
      <c r="AZ3" s="3"/>
      <c r="BA3" s="3"/>
      <c r="BB3" s="3"/>
    </row>
    <row r="4" spans="2:54" x14ac:dyDescent="0.25">
      <c r="B4" s="15"/>
      <c r="C4" s="15"/>
      <c r="D4" s="15"/>
      <c r="F4" s="15"/>
      <c r="G4" s="19"/>
      <c r="H4" s="19"/>
      <c r="I4" s="19"/>
      <c r="J4" s="15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</row>
    <row r="5" spans="2:54" ht="15" customHeight="1" x14ac:dyDescent="0.25">
      <c r="B5" s="31" t="s">
        <v>4</v>
      </c>
      <c r="C5" s="32"/>
      <c r="D5" s="16"/>
      <c r="E5" s="35" t="s">
        <v>32</v>
      </c>
      <c r="F5" s="16"/>
      <c r="G5" s="31" t="s">
        <v>19</v>
      </c>
      <c r="H5" s="43"/>
      <c r="I5" s="32"/>
      <c r="J5" s="16"/>
      <c r="K5" s="35" t="s">
        <v>20</v>
      </c>
      <c r="L5" s="36"/>
      <c r="M5" s="36"/>
      <c r="N5" s="36"/>
      <c r="O5" s="36"/>
      <c r="P5" s="36"/>
      <c r="Q5" s="36"/>
      <c r="R5" s="36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5" t="s">
        <v>6</v>
      </c>
      <c r="AV5" s="36"/>
      <c r="AW5" s="36"/>
      <c r="AX5" s="36"/>
      <c r="AY5" s="36"/>
      <c r="AZ5" s="36"/>
      <c r="BA5" s="36"/>
      <c r="BB5" s="36"/>
    </row>
    <row r="6" spans="2:54" x14ac:dyDescent="0.25">
      <c r="B6" s="33"/>
      <c r="C6" s="34"/>
      <c r="D6" s="17"/>
      <c r="E6" s="36"/>
      <c r="F6" s="17"/>
      <c r="G6" s="33"/>
      <c r="H6" s="44"/>
      <c r="I6" s="34"/>
      <c r="J6" s="17"/>
      <c r="K6" s="36"/>
      <c r="L6" s="36"/>
      <c r="M6" s="36"/>
      <c r="N6" s="36"/>
      <c r="O6" s="36"/>
      <c r="P6" s="36"/>
      <c r="Q6" s="36"/>
      <c r="R6" s="36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36"/>
      <c r="AV6" s="36"/>
      <c r="AW6" s="36"/>
      <c r="AX6" s="36"/>
      <c r="AY6" s="36"/>
      <c r="AZ6" s="36"/>
      <c r="BA6" s="36"/>
      <c r="BB6" s="36"/>
    </row>
    <row r="7" spans="2:54" ht="25.5" x14ac:dyDescent="0.25">
      <c r="B7" s="25" t="s">
        <v>7</v>
      </c>
      <c r="C7" s="25" t="s">
        <v>8</v>
      </c>
      <c r="D7" s="18"/>
      <c r="E7" s="26" t="s">
        <v>9</v>
      </c>
      <c r="F7" s="18"/>
      <c r="G7" s="28" t="s">
        <v>17</v>
      </c>
      <c r="H7" s="28" t="s">
        <v>13</v>
      </c>
      <c r="I7" s="28" t="s">
        <v>14</v>
      </c>
      <c r="J7" s="18"/>
      <c r="K7" s="7" t="s">
        <v>10</v>
      </c>
      <c r="L7" s="7" t="s">
        <v>11</v>
      </c>
      <c r="M7" s="7" t="s">
        <v>12</v>
      </c>
      <c r="N7" s="27" t="s">
        <v>15</v>
      </c>
      <c r="O7" s="7" t="s">
        <v>16</v>
      </c>
      <c r="P7" s="7" t="s">
        <v>12</v>
      </c>
      <c r="Q7" s="7" t="s">
        <v>13</v>
      </c>
      <c r="R7" s="7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12</v>
      </c>
      <c r="AX7" s="27" t="s">
        <v>15</v>
      </c>
      <c r="AY7" s="7" t="s">
        <v>16</v>
      </c>
      <c r="AZ7" s="7" t="s">
        <v>12</v>
      </c>
      <c r="BA7" s="7" t="s">
        <v>13</v>
      </c>
      <c r="BB7" s="7" t="s">
        <v>14</v>
      </c>
    </row>
    <row r="8" spans="2:54" x14ac:dyDescent="0.25">
      <c r="B8" s="16">
        <f>RANK(C8,C$8:C$32,0)</f>
        <v>1</v>
      </c>
      <c r="C8" s="16">
        <f t="shared" ref="C8:C32" si="0">SUMIF($K$1:$BB$1,1,$K8:$BB8)</f>
        <v>0</v>
      </c>
      <c r="D8" s="14"/>
      <c r="E8" s="22"/>
      <c r="F8" s="14"/>
      <c r="G8" s="16"/>
      <c r="H8" s="16" t="e">
        <f>RANK(G8,G$8:G$32,0)</f>
        <v>#N/A</v>
      </c>
      <c r="I8" s="16" t="e">
        <f>VLOOKUP(H8,'Место-баллы'!$A$3:$B$52,2,0)</f>
        <v>#N/A</v>
      </c>
      <c r="J8" s="14"/>
      <c r="K8" s="11"/>
      <c r="L8" s="11"/>
      <c r="M8" s="13">
        <f>TIME(0,K8,L8)</f>
        <v>0</v>
      </c>
      <c r="N8" s="11"/>
      <c r="O8" s="11">
        <f>N$2-N8</f>
        <v>120</v>
      </c>
      <c r="P8" s="13">
        <f>M8+TIME(0,0,O8)</f>
        <v>1.3888888888888889E-3</v>
      </c>
      <c r="Q8" s="11">
        <f>RANK(P8,P$8:P$32,1)</f>
        <v>1</v>
      </c>
      <c r="R8" s="16">
        <f>VLOOKUP(Q8,'Место-баллы'!$A$3:$B$52,2,0)</f>
        <v>100</v>
      </c>
      <c r="S8" s="12"/>
      <c r="T8" s="11"/>
      <c r="U8" s="11"/>
      <c r="V8" s="13">
        <f>TIME(0,T8,U8)</f>
        <v>0</v>
      </c>
      <c r="W8" s="11"/>
      <c r="X8" s="11">
        <f>W$2-W8</f>
        <v>48</v>
      </c>
      <c r="Y8" s="13">
        <f>V8+TIME(0,0,X8)</f>
        <v>5.5555555555555556E-4</v>
      </c>
      <c r="Z8" s="11">
        <f>RANK(Y8,Y$8:Y$32,1)</f>
        <v>1</v>
      </c>
      <c r="AA8" s="16">
        <f>VLOOKUP(Z8,'Место-баллы'!$A$3:$B$52,2,0)</f>
        <v>100</v>
      </c>
      <c r="AB8" s="12"/>
      <c r="AC8" s="11"/>
      <c r="AD8" s="11"/>
      <c r="AE8" s="13">
        <f>TIME(0,AC8,AD8)</f>
        <v>0</v>
      </c>
      <c r="AF8" s="11"/>
      <c r="AG8" s="11">
        <f>AF$2-AF8</f>
        <v>950</v>
      </c>
      <c r="AH8" s="13">
        <f>AE8+TIME(0,0,AG8)</f>
        <v>1.0995370370370371E-2</v>
      </c>
      <c r="AI8" s="11">
        <f>RANK(AH8,AH$8:AH$32,1)</f>
        <v>1</v>
      </c>
      <c r="AJ8" s="16">
        <f>VLOOKUP(AI8,'Место-баллы'!$A$3:$B$52,2,0)</f>
        <v>100</v>
      </c>
      <c r="AK8" s="12"/>
      <c r="AL8" s="11"/>
      <c r="AM8" s="11"/>
      <c r="AN8" s="13">
        <f>TIME(0,AL8,AM8)</f>
        <v>0</v>
      </c>
      <c r="AO8" s="11"/>
      <c r="AP8" s="11">
        <f>AO$2-AO8</f>
        <v>190</v>
      </c>
      <c r="AQ8" s="13">
        <f>AN8+TIME(0,0,AP8)</f>
        <v>2.1990740740740742E-3</v>
      </c>
      <c r="AR8" s="11">
        <f>RANK(AQ8,AQ$8:AQ$32,1)</f>
        <v>1</v>
      </c>
      <c r="AS8" s="16">
        <f>VLOOKUP(AR8,'Место-баллы'!$A$3:$B$52,2,0)</f>
        <v>100</v>
      </c>
      <c r="AT8" s="12"/>
      <c r="AU8" s="11"/>
      <c r="AV8" s="11"/>
      <c r="AW8" s="13">
        <f>TIME(0,AU8,AV8)</f>
        <v>0</v>
      </c>
      <c r="AX8" s="11"/>
      <c r="AY8" s="11">
        <f>AX$2-AX8</f>
        <v>90</v>
      </c>
      <c r="AZ8" s="13">
        <f>AW8+TIME(0,0,AY8)</f>
        <v>1.0416666666666667E-3</v>
      </c>
      <c r="BA8" s="11">
        <f>RANK(AZ8,AZ$8:AZ$32,1)</f>
        <v>1</v>
      </c>
      <c r="BB8" s="16">
        <f>VLOOKUP(BA8,'Место-баллы'!$A$3:$B$52,2,0)</f>
        <v>100</v>
      </c>
    </row>
    <row r="9" spans="2:54" x14ac:dyDescent="0.25">
      <c r="B9" s="16">
        <f t="shared" ref="B9:B32" si="1">RANK(C9,C$8:C$32,0)</f>
        <v>1</v>
      </c>
      <c r="C9" s="16">
        <f t="shared" si="0"/>
        <v>0</v>
      </c>
      <c r="D9" s="14"/>
      <c r="E9" s="9"/>
      <c r="F9" s="14"/>
      <c r="G9" s="16"/>
      <c r="H9" s="16" t="e">
        <f t="shared" ref="H9:H32" si="2">RANK(G9,G$8:G$32,0)</f>
        <v>#N/A</v>
      </c>
      <c r="I9" s="16" t="e">
        <f>VLOOKUP(H9,'Место-баллы'!$A$3:$B$52,2,0)</f>
        <v>#N/A</v>
      </c>
      <c r="J9" s="14"/>
      <c r="K9" s="11"/>
      <c r="L9" s="11"/>
      <c r="M9" s="13">
        <f t="shared" ref="M9:M32" si="3">TIME(0,K9,L9)</f>
        <v>0</v>
      </c>
      <c r="N9" s="11"/>
      <c r="O9" s="11">
        <f t="shared" ref="O9:O32" si="4">N$2-N9</f>
        <v>120</v>
      </c>
      <c r="P9" s="13">
        <f t="shared" ref="P9:P32" si="5">M9+TIME(0,0,O9)</f>
        <v>1.3888888888888889E-3</v>
      </c>
      <c r="Q9" s="11">
        <f t="shared" ref="Q9:Q32" si="6">RANK(P9,P$8:P$32,1)</f>
        <v>1</v>
      </c>
      <c r="R9" s="16">
        <f>VLOOKUP(Q9,'Место-баллы'!$A$3:$B$52,2,0)</f>
        <v>100</v>
      </c>
      <c r="S9" s="12"/>
      <c r="T9" s="11"/>
      <c r="U9" s="11"/>
      <c r="V9" s="13">
        <f t="shared" ref="V9:V32" si="7">TIME(0,T9,U9)</f>
        <v>0</v>
      </c>
      <c r="W9" s="11"/>
      <c r="X9" s="11">
        <f t="shared" ref="X9:X32" si="8">W$2-W9</f>
        <v>48</v>
      </c>
      <c r="Y9" s="13">
        <f t="shared" ref="Y9:Y32" si="9">V9+TIME(0,0,X9)</f>
        <v>5.5555555555555556E-4</v>
      </c>
      <c r="Z9" s="11">
        <f t="shared" ref="Z9:Z32" si="10">RANK(Y9,Y$8:Y$32,1)</f>
        <v>1</v>
      </c>
      <c r="AA9" s="16">
        <f>VLOOKUP(Z9,'Место-баллы'!$A$3:$B$52,2,0)</f>
        <v>100</v>
      </c>
      <c r="AB9" s="12"/>
      <c r="AC9" s="11"/>
      <c r="AD9" s="11"/>
      <c r="AE9" s="13">
        <f t="shared" ref="AE9:AE32" si="11">TIME(0,AC9,AD9)</f>
        <v>0</v>
      </c>
      <c r="AF9" s="11"/>
      <c r="AG9" s="11">
        <f t="shared" ref="AG9:AG32" si="12">AF$2-AF9</f>
        <v>950</v>
      </c>
      <c r="AH9" s="13">
        <f t="shared" ref="AH9:AH32" si="13">AE9+TIME(0,0,AG9)</f>
        <v>1.0995370370370371E-2</v>
      </c>
      <c r="AI9" s="11">
        <f t="shared" ref="AI9:AI32" si="14">RANK(AH9,AH$8:AH$32,1)</f>
        <v>1</v>
      </c>
      <c r="AJ9" s="16">
        <f>VLOOKUP(AI9,'Место-баллы'!$A$3:$B$52,2,0)</f>
        <v>100</v>
      </c>
      <c r="AK9" s="12"/>
      <c r="AL9" s="11"/>
      <c r="AM9" s="11"/>
      <c r="AN9" s="13">
        <f t="shared" ref="AN9:AN32" si="15">TIME(0,AL9,AM9)</f>
        <v>0</v>
      </c>
      <c r="AO9" s="11"/>
      <c r="AP9" s="11">
        <f t="shared" ref="AP9:AP32" si="16">AO$2-AO9</f>
        <v>190</v>
      </c>
      <c r="AQ9" s="13">
        <f t="shared" ref="AQ9:AQ32" si="17">AN9+TIME(0,0,AP9)</f>
        <v>2.1990740740740742E-3</v>
      </c>
      <c r="AR9" s="11">
        <f t="shared" ref="AR9:AR32" si="18">RANK(AQ9,AQ$8:AQ$32,1)</f>
        <v>1</v>
      </c>
      <c r="AS9" s="16">
        <f>VLOOKUP(AR9,'Место-баллы'!$A$3:$B$52,2,0)</f>
        <v>100</v>
      </c>
      <c r="AT9" s="12"/>
      <c r="AU9" s="11"/>
      <c r="AV9" s="11"/>
      <c r="AW9" s="13">
        <f t="shared" ref="AW9:AW32" si="19">TIME(0,AU9,AV9)</f>
        <v>0</v>
      </c>
      <c r="AX9" s="11"/>
      <c r="AY9" s="11">
        <f t="shared" ref="AY9:AY32" si="20">AX$2-AX9</f>
        <v>90</v>
      </c>
      <c r="AZ9" s="13">
        <f t="shared" ref="AZ9:AZ32" si="21">AW9+TIME(0,0,AY9)</f>
        <v>1.0416666666666667E-3</v>
      </c>
      <c r="BA9" s="11">
        <f t="shared" ref="BA9:BA32" si="22">RANK(AZ9,AZ$8:AZ$32,1)</f>
        <v>1</v>
      </c>
      <c r="BB9" s="16">
        <f>VLOOKUP(BA9,'Место-баллы'!$A$3:$B$52,2,0)</f>
        <v>100</v>
      </c>
    </row>
    <row r="10" spans="2:54" x14ac:dyDescent="0.25">
      <c r="B10" s="16">
        <f t="shared" si="1"/>
        <v>1</v>
      </c>
      <c r="C10" s="16">
        <f t="shared" si="0"/>
        <v>0</v>
      </c>
      <c r="D10" s="14"/>
      <c r="E10" s="9"/>
      <c r="F10" s="14"/>
      <c r="G10" s="16"/>
      <c r="H10" s="16" t="e">
        <f t="shared" si="2"/>
        <v>#N/A</v>
      </c>
      <c r="I10" s="16" t="e">
        <f>VLOOKUP(H10,'Место-баллы'!$A$3:$B$52,2,0)</f>
        <v>#N/A</v>
      </c>
      <c r="J10" s="14"/>
      <c r="K10" s="11"/>
      <c r="L10" s="11"/>
      <c r="M10" s="13">
        <f t="shared" si="3"/>
        <v>0</v>
      </c>
      <c r="N10" s="11"/>
      <c r="O10" s="11">
        <f t="shared" si="4"/>
        <v>120</v>
      </c>
      <c r="P10" s="13">
        <f t="shared" si="5"/>
        <v>1.3888888888888889E-3</v>
      </c>
      <c r="Q10" s="11">
        <f t="shared" si="6"/>
        <v>1</v>
      </c>
      <c r="R10" s="16">
        <f>VLOOKUP(Q10,'Место-баллы'!$A$3:$B$52,2,0)</f>
        <v>100</v>
      </c>
      <c r="S10" s="12"/>
      <c r="T10" s="11"/>
      <c r="U10" s="11"/>
      <c r="V10" s="13">
        <f t="shared" si="7"/>
        <v>0</v>
      </c>
      <c r="W10" s="11"/>
      <c r="X10" s="11">
        <f t="shared" si="8"/>
        <v>48</v>
      </c>
      <c r="Y10" s="13">
        <f t="shared" si="9"/>
        <v>5.5555555555555556E-4</v>
      </c>
      <c r="Z10" s="11">
        <f t="shared" si="10"/>
        <v>1</v>
      </c>
      <c r="AA10" s="16">
        <f>VLOOKUP(Z10,'Место-баллы'!$A$3:$B$52,2,0)</f>
        <v>100</v>
      </c>
      <c r="AB10" s="12"/>
      <c r="AC10" s="11"/>
      <c r="AD10" s="11"/>
      <c r="AE10" s="13">
        <f t="shared" si="11"/>
        <v>0</v>
      </c>
      <c r="AF10" s="11"/>
      <c r="AG10" s="11">
        <f t="shared" si="12"/>
        <v>950</v>
      </c>
      <c r="AH10" s="13">
        <f t="shared" si="13"/>
        <v>1.0995370370370371E-2</v>
      </c>
      <c r="AI10" s="11">
        <f t="shared" si="14"/>
        <v>1</v>
      </c>
      <c r="AJ10" s="16">
        <f>VLOOKUP(AI10,'Место-баллы'!$A$3:$B$52,2,0)</f>
        <v>100</v>
      </c>
      <c r="AK10" s="12"/>
      <c r="AL10" s="11"/>
      <c r="AM10" s="11"/>
      <c r="AN10" s="13">
        <f t="shared" si="15"/>
        <v>0</v>
      </c>
      <c r="AO10" s="11"/>
      <c r="AP10" s="11">
        <f t="shared" si="16"/>
        <v>190</v>
      </c>
      <c r="AQ10" s="13">
        <f t="shared" si="17"/>
        <v>2.1990740740740742E-3</v>
      </c>
      <c r="AR10" s="11">
        <f t="shared" si="18"/>
        <v>1</v>
      </c>
      <c r="AS10" s="16">
        <f>VLOOKUP(AR10,'Место-баллы'!$A$3:$B$52,2,0)</f>
        <v>100</v>
      </c>
      <c r="AT10" s="12"/>
      <c r="AU10" s="11"/>
      <c r="AV10" s="11"/>
      <c r="AW10" s="13">
        <f t="shared" si="19"/>
        <v>0</v>
      </c>
      <c r="AX10" s="11"/>
      <c r="AY10" s="11">
        <f t="shared" si="20"/>
        <v>90</v>
      </c>
      <c r="AZ10" s="13">
        <f t="shared" si="21"/>
        <v>1.0416666666666667E-3</v>
      </c>
      <c r="BA10" s="11">
        <f t="shared" si="22"/>
        <v>1</v>
      </c>
      <c r="BB10" s="16">
        <f>VLOOKUP(BA10,'Место-баллы'!$A$3:$B$52,2,0)</f>
        <v>100</v>
      </c>
    </row>
    <row r="11" spans="2:54" x14ac:dyDescent="0.25">
      <c r="B11" s="16">
        <f t="shared" si="1"/>
        <v>1</v>
      </c>
      <c r="C11" s="16">
        <f t="shared" si="0"/>
        <v>0</v>
      </c>
      <c r="D11" s="14"/>
      <c r="E11" s="9"/>
      <c r="F11" s="14"/>
      <c r="G11" s="16"/>
      <c r="H11" s="16" t="e">
        <f t="shared" si="2"/>
        <v>#N/A</v>
      </c>
      <c r="I11" s="16" t="e">
        <f>VLOOKUP(H11,'Место-баллы'!$A$3:$B$52,2,0)</f>
        <v>#N/A</v>
      </c>
      <c r="J11" s="14"/>
      <c r="K11" s="11"/>
      <c r="L11" s="11"/>
      <c r="M11" s="13">
        <f t="shared" si="3"/>
        <v>0</v>
      </c>
      <c r="N11" s="11"/>
      <c r="O11" s="11">
        <f t="shared" si="4"/>
        <v>120</v>
      </c>
      <c r="P11" s="13">
        <f t="shared" si="5"/>
        <v>1.3888888888888889E-3</v>
      </c>
      <c r="Q11" s="11">
        <f t="shared" si="6"/>
        <v>1</v>
      </c>
      <c r="R11" s="16">
        <f>VLOOKUP(Q11,'Место-баллы'!$A$3:$B$52,2,0)</f>
        <v>100</v>
      </c>
      <c r="S11" s="12"/>
      <c r="T11" s="11"/>
      <c r="U11" s="11"/>
      <c r="V11" s="13">
        <f t="shared" si="7"/>
        <v>0</v>
      </c>
      <c r="W11" s="11"/>
      <c r="X11" s="11">
        <f t="shared" si="8"/>
        <v>48</v>
      </c>
      <c r="Y11" s="13">
        <f t="shared" si="9"/>
        <v>5.5555555555555556E-4</v>
      </c>
      <c r="Z11" s="11">
        <f t="shared" si="10"/>
        <v>1</v>
      </c>
      <c r="AA11" s="16">
        <f>VLOOKUP(Z11,'Место-баллы'!$A$3:$B$52,2,0)</f>
        <v>100</v>
      </c>
      <c r="AB11" s="12"/>
      <c r="AC11" s="11"/>
      <c r="AD11" s="11"/>
      <c r="AE11" s="13">
        <f t="shared" si="11"/>
        <v>0</v>
      </c>
      <c r="AF11" s="11"/>
      <c r="AG11" s="11">
        <f t="shared" si="12"/>
        <v>950</v>
      </c>
      <c r="AH11" s="13">
        <f t="shared" si="13"/>
        <v>1.0995370370370371E-2</v>
      </c>
      <c r="AI11" s="11">
        <f t="shared" si="14"/>
        <v>1</v>
      </c>
      <c r="AJ11" s="16">
        <f>VLOOKUP(AI11,'Место-баллы'!$A$3:$B$52,2,0)</f>
        <v>100</v>
      </c>
      <c r="AK11" s="12"/>
      <c r="AL11" s="11"/>
      <c r="AM11" s="11"/>
      <c r="AN11" s="13">
        <f t="shared" si="15"/>
        <v>0</v>
      </c>
      <c r="AO11" s="11"/>
      <c r="AP11" s="11">
        <f t="shared" si="16"/>
        <v>190</v>
      </c>
      <c r="AQ11" s="13">
        <f t="shared" si="17"/>
        <v>2.1990740740740742E-3</v>
      </c>
      <c r="AR11" s="11">
        <f t="shared" si="18"/>
        <v>1</v>
      </c>
      <c r="AS11" s="16">
        <f>VLOOKUP(AR11,'Место-баллы'!$A$3:$B$52,2,0)</f>
        <v>100</v>
      </c>
      <c r="AT11" s="12"/>
      <c r="AU11" s="11"/>
      <c r="AV11" s="11"/>
      <c r="AW11" s="13">
        <f t="shared" si="19"/>
        <v>0</v>
      </c>
      <c r="AX11" s="11"/>
      <c r="AY11" s="11">
        <f t="shared" si="20"/>
        <v>90</v>
      </c>
      <c r="AZ11" s="13">
        <f t="shared" si="21"/>
        <v>1.0416666666666667E-3</v>
      </c>
      <c r="BA11" s="11">
        <f t="shared" si="22"/>
        <v>1</v>
      </c>
      <c r="BB11" s="16">
        <f>VLOOKUP(BA11,'Место-баллы'!$A$3:$B$52,2,0)</f>
        <v>100</v>
      </c>
    </row>
    <row r="12" spans="2:54" x14ac:dyDescent="0.25">
      <c r="B12" s="16">
        <f t="shared" si="1"/>
        <v>1</v>
      </c>
      <c r="C12" s="16">
        <f t="shared" si="0"/>
        <v>0</v>
      </c>
      <c r="D12" s="14"/>
      <c r="E12" s="9"/>
      <c r="F12" s="14"/>
      <c r="G12" s="16"/>
      <c r="H12" s="16" t="e">
        <f t="shared" si="2"/>
        <v>#N/A</v>
      </c>
      <c r="I12" s="16" t="e">
        <f>VLOOKUP(H12,'Место-баллы'!$A$3:$B$52,2,0)</f>
        <v>#N/A</v>
      </c>
      <c r="J12" s="14"/>
      <c r="K12" s="11"/>
      <c r="L12" s="11"/>
      <c r="M12" s="13">
        <f t="shared" si="3"/>
        <v>0</v>
      </c>
      <c r="N12" s="11"/>
      <c r="O12" s="11">
        <f t="shared" si="4"/>
        <v>120</v>
      </c>
      <c r="P12" s="13">
        <f t="shared" si="5"/>
        <v>1.3888888888888889E-3</v>
      </c>
      <c r="Q12" s="11">
        <f t="shared" si="6"/>
        <v>1</v>
      </c>
      <c r="R12" s="16">
        <f>VLOOKUP(Q12,'Место-баллы'!$A$3:$B$52,2,0)</f>
        <v>100</v>
      </c>
      <c r="S12" s="12"/>
      <c r="T12" s="11"/>
      <c r="U12" s="11"/>
      <c r="V12" s="13">
        <f t="shared" si="7"/>
        <v>0</v>
      </c>
      <c r="W12" s="11"/>
      <c r="X12" s="11">
        <f t="shared" si="8"/>
        <v>48</v>
      </c>
      <c r="Y12" s="13">
        <f t="shared" si="9"/>
        <v>5.5555555555555556E-4</v>
      </c>
      <c r="Z12" s="11">
        <f t="shared" si="10"/>
        <v>1</v>
      </c>
      <c r="AA12" s="16">
        <f>VLOOKUP(Z12,'Место-баллы'!$A$3:$B$52,2,0)</f>
        <v>100</v>
      </c>
      <c r="AB12" s="12"/>
      <c r="AC12" s="11"/>
      <c r="AD12" s="11"/>
      <c r="AE12" s="13">
        <f t="shared" si="11"/>
        <v>0</v>
      </c>
      <c r="AF12" s="11"/>
      <c r="AG12" s="11">
        <f t="shared" si="12"/>
        <v>950</v>
      </c>
      <c r="AH12" s="13">
        <f t="shared" si="13"/>
        <v>1.0995370370370371E-2</v>
      </c>
      <c r="AI12" s="11">
        <f t="shared" si="14"/>
        <v>1</v>
      </c>
      <c r="AJ12" s="16">
        <f>VLOOKUP(AI12,'Место-баллы'!$A$3:$B$52,2,0)</f>
        <v>100</v>
      </c>
      <c r="AK12" s="12"/>
      <c r="AL12" s="11"/>
      <c r="AM12" s="11"/>
      <c r="AN12" s="13">
        <f t="shared" si="15"/>
        <v>0</v>
      </c>
      <c r="AO12" s="11"/>
      <c r="AP12" s="11">
        <f t="shared" si="16"/>
        <v>190</v>
      </c>
      <c r="AQ12" s="13">
        <f t="shared" si="17"/>
        <v>2.1990740740740742E-3</v>
      </c>
      <c r="AR12" s="11">
        <f t="shared" si="18"/>
        <v>1</v>
      </c>
      <c r="AS12" s="16">
        <f>VLOOKUP(AR12,'Место-баллы'!$A$3:$B$52,2,0)</f>
        <v>100</v>
      </c>
      <c r="AT12" s="12"/>
      <c r="AU12" s="11"/>
      <c r="AV12" s="11"/>
      <c r="AW12" s="13">
        <f t="shared" si="19"/>
        <v>0</v>
      </c>
      <c r="AX12" s="11"/>
      <c r="AY12" s="11">
        <f t="shared" si="20"/>
        <v>90</v>
      </c>
      <c r="AZ12" s="13">
        <f t="shared" si="21"/>
        <v>1.0416666666666667E-3</v>
      </c>
      <c r="BA12" s="11">
        <f t="shared" si="22"/>
        <v>1</v>
      </c>
      <c r="BB12" s="16">
        <f>VLOOKUP(BA12,'Место-баллы'!$A$3:$B$52,2,0)</f>
        <v>100</v>
      </c>
    </row>
    <row r="13" spans="2:54" x14ac:dyDescent="0.25">
      <c r="B13" s="16">
        <f t="shared" si="1"/>
        <v>1</v>
      </c>
      <c r="C13" s="16">
        <f t="shared" si="0"/>
        <v>0</v>
      </c>
      <c r="D13" s="14"/>
      <c r="E13" s="9"/>
      <c r="F13" s="14"/>
      <c r="G13" s="16"/>
      <c r="H13" s="16" t="e">
        <f t="shared" si="2"/>
        <v>#N/A</v>
      </c>
      <c r="I13" s="16" t="e">
        <f>VLOOKUP(H13,'Место-баллы'!$A$3:$B$52,2,0)</f>
        <v>#N/A</v>
      </c>
      <c r="J13" s="14"/>
      <c r="K13" s="11"/>
      <c r="L13" s="11"/>
      <c r="M13" s="13">
        <f t="shared" si="3"/>
        <v>0</v>
      </c>
      <c r="N13" s="11"/>
      <c r="O13" s="11">
        <f t="shared" si="4"/>
        <v>120</v>
      </c>
      <c r="P13" s="13">
        <f t="shared" si="5"/>
        <v>1.3888888888888889E-3</v>
      </c>
      <c r="Q13" s="11">
        <f t="shared" si="6"/>
        <v>1</v>
      </c>
      <c r="R13" s="16">
        <f>VLOOKUP(Q13,'Место-баллы'!$A$3:$B$52,2,0)</f>
        <v>100</v>
      </c>
      <c r="S13" s="12"/>
      <c r="T13" s="11"/>
      <c r="U13" s="11"/>
      <c r="V13" s="13">
        <f t="shared" si="7"/>
        <v>0</v>
      </c>
      <c r="W13" s="11"/>
      <c r="X13" s="11">
        <f t="shared" si="8"/>
        <v>48</v>
      </c>
      <c r="Y13" s="13">
        <f t="shared" si="9"/>
        <v>5.5555555555555556E-4</v>
      </c>
      <c r="Z13" s="11">
        <f t="shared" si="10"/>
        <v>1</v>
      </c>
      <c r="AA13" s="16">
        <f>VLOOKUP(Z13,'Место-баллы'!$A$3:$B$52,2,0)</f>
        <v>100</v>
      </c>
      <c r="AB13" s="12"/>
      <c r="AC13" s="11"/>
      <c r="AD13" s="11"/>
      <c r="AE13" s="13">
        <f t="shared" si="11"/>
        <v>0</v>
      </c>
      <c r="AF13" s="11"/>
      <c r="AG13" s="11">
        <f t="shared" si="12"/>
        <v>950</v>
      </c>
      <c r="AH13" s="13">
        <f t="shared" si="13"/>
        <v>1.0995370370370371E-2</v>
      </c>
      <c r="AI13" s="11">
        <f t="shared" si="14"/>
        <v>1</v>
      </c>
      <c r="AJ13" s="16">
        <f>VLOOKUP(AI13,'Место-баллы'!$A$3:$B$52,2,0)</f>
        <v>100</v>
      </c>
      <c r="AK13" s="12"/>
      <c r="AL13" s="11"/>
      <c r="AM13" s="11"/>
      <c r="AN13" s="13">
        <f t="shared" si="15"/>
        <v>0</v>
      </c>
      <c r="AO13" s="11"/>
      <c r="AP13" s="11">
        <f t="shared" si="16"/>
        <v>190</v>
      </c>
      <c r="AQ13" s="13">
        <f t="shared" si="17"/>
        <v>2.1990740740740742E-3</v>
      </c>
      <c r="AR13" s="11">
        <f t="shared" si="18"/>
        <v>1</v>
      </c>
      <c r="AS13" s="16">
        <f>VLOOKUP(AR13,'Место-баллы'!$A$3:$B$52,2,0)</f>
        <v>100</v>
      </c>
      <c r="AT13" s="12"/>
      <c r="AU13" s="11"/>
      <c r="AV13" s="11"/>
      <c r="AW13" s="13">
        <f t="shared" si="19"/>
        <v>0</v>
      </c>
      <c r="AX13" s="11"/>
      <c r="AY13" s="11">
        <f t="shared" si="20"/>
        <v>90</v>
      </c>
      <c r="AZ13" s="13">
        <f t="shared" si="21"/>
        <v>1.0416666666666667E-3</v>
      </c>
      <c r="BA13" s="11">
        <f t="shared" si="22"/>
        <v>1</v>
      </c>
      <c r="BB13" s="16">
        <f>VLOOKUP(BA13,'Место-баллы'!$A$3:$B$52,2,0)</f>
        <v>100</v>
      </c>
    </row>
    <row r="14" spans="2:54" x14ac:dyDescent="0.25">
      <c r="B14" s="16">
        <f t="shared" si="1"/>
        <v>1</v>
      </c>
      <c r="C14" s="16">
        <f t="shared" si="0"/>
        <v>0</v>
      </c>
      <c r="D14" s="14"/>
      <c r="E14" s="9"/>
      <c r="F14" s="14"/>
      <c r="G14" s="16"/>
      <c r="H14" s="16" t="e">
        <f t="shared" si="2"/>
        <v>#N/A</v>
      </c>
      <c r="I14" s="16" t="e">
        <f>VLOOKUP(H14,'Место-баллы'!$A$3:$B$52,2,0)</f>
        <v>#N/A</v>
      </c>
      <c r="J14" s="14"/>
      <c r="K14" s="11"/>
      <c r="L14" s="11"/>
      <c r="M14" s="13">
        <f t="shared" si="3"/>
        <v>0</v>
      </c>
      <c r="N14" s="11"/>
      <c r="O14" s="11">
        <f t="shared" si="4"/>
        <v>120</v>
      </c>
      <c r="P14" s="13">
        <f t="shared" si="5"/>
        <v>1.3888888888888889E-3</v>
      </c>
      <c r="Q14" s="11">
        <f t="shared" si="6"/>
        <v>1</v>
      </c>
      <c r="R14" s="16">
        <f>VLOOKUP(Q14,'Место-баллы'!$A$3:$B$52,2,0)</f>
        <v>100</v>
      </c>
      <c r="S14" s="12"/>
      <c r="T14" s="11"/>
      <c r="U14" s="11"/>
      <c r="V14" s="13">
        <f t="shared" si="7"/>
        <v>0</v>
      </c>
      <c r="W14" s="11"/>
      <c r="X14" s="11">
        <f t="shared" si="8"/>
        <v>48</v>
      </c>
      <c r="Y14" s="13">
        <f t="shared" si="9"/>
        <v>5.5555555555555556E-4</v>
      </c>
      <c r="Z14" s="11">
        <f t="shared" si="10"/>
        <v>1</v>
      </c>
      <c r="AA14" s="16">
        <f>VLOOKUP(Z14,'Место-баллы'!$A$3:$B$52,2,0)</f>
        <v>100</v>
      </c>
      <c r="AB14" s="12"/>
      <c r="AC14" s="11"/>
      <c r="AD14" s="11"/>
      <c r="AE14" s="13">
        <f t="shared" si="11"/>
        <v>0</v>
      </c>
      <c r="AF14" s="11"/>
      <c r="AG14" s="11">
        <f t="shared" si="12"/>
        <v>950</v>
      </c>
      <c r="AH14" s="13">
        <f t="shared" si="13"/>
        <v>1.0995370370370371E-2</v>
      </c>
      <c r="AI14" s="11">
        <f t="shared" si="14"/>
        <v>1</v>
      </c>
      <c r="AJ14" s="16">
        <f>VLOOKUP(AI14,'Место-баллы'!$A$3:$B$52,2,0)</f>
        <v>100</v>
      </c>
      <c r="AK14" s="12"/>
      <c r="AL14" s="11"/>
      <c r="AM14" s="11"/>
      <c r="AN14" s="13">
        <f t="shared" si="15"/>
        <v>0</v>
      </c>
      <c r="AO14" s="11"/>
      <c r="AP14" s="11">
        <f t="shared" si="16"/>
        <v>190</v>
      </c>
      <c r="AQ14" s="13">
        <f t="shared" si="17"/>
        <v>2.1990740740740742E-3</v>
      </c>
      <c r="AR14" s="11">
        <f t="shared" si="18"/>
        <v>1</v>
      </c>
      <c r="AS14" s="16">
        <f>VLOOKUP(AR14,'Место-баллы'!$A$3:$B$52,2,0)</f>
        <v>100</v>
      </c>
      <c r="AT14" s="12"/>
      <c r="AU14" s="11"/>
      <c r="AV14" s="11"/>
      <c r="AW14" s="13">
        <f t="shared" si="19"/>
        <v>0</v>
      </c>
      <c r="AX14" s="11"/>
      <c r="AY14" s="11">
        <f t="shared" si="20"/>
        <v>90</v>
      </c>
      <c r="AZ14" s="13">
        <f t="shared" si="21"/>
        <v>1.0416666666666667E-3</v>
      </c>
      <c r="BA14" s="11">
        <f t="shared" si="22"/>
        <v>1</v>
      </c>
      <c r="BB14" s="16">
        <f>VLOOKUP(BA14,'Место-баллы'!$A$3:$B$52,2,0)</f>
        <v>100</v>
      </c>
    </row>
    <row r="15" spans="2:54" x14ac:dyDescent="0.25">
      <c r="B15" s="16">
        <f t="shared" si="1"/>
        <v>1</v>
      </c>
      <c r="C15" s="16">
        <f t="shared" si="0"/>
        <v>0</v>
      </c>
      <c r="D15" s="14"/>
      <c r="E15" s="9"/>
      <c r="F15" s="14"/>
      <c r="G15" s="16"/>
      <c r="H15" s="16" t="e">
        <f t="shared" si="2"/>
        <v>#N/A</v>
      </c>
      <c r="I15" s="16" t="e">
        <f>VLOOKUP(H15,'Место-баллы'!$A$3:$B$52,2,0)</f>
        <v>#N/A</v>
      </c>
      <c r="J15" s="14"/>
      <c r="K15" s="11"/>
      <c r="L15" s="11"/>
      <c r="M15" s="13">
        <f t="shared" si="3"/>
        <v>0</v>
      </c>
      <c r="N15" s="11"/>
      <c r="O15" s="11">
        <f t="shared" si="4"/>
        <v>120</v>
      </c>
      <c r="P15" s="13">
        <f t="shared" si="5"/>
        <v>1.3888888888888889E-3</v>
      </c>
      <c r="Q15" s="11">
        <f t="shared" si="6"/>
        <v>1</v>
      </c>
      <c r="R15" s="16">
        <f>VLOOKUP(Q15,'Место-баллы'!$A$3:$B$52,2,0)</f>
        <v>100</v>
      </c>
      <c r="S15" s="12"/>
      <c r="T15" s="11"/>
      <c r="U15" s="11"/>
      <c r="V15" s="13">
        <f t="shared" si="7"/>
        <v>0</v>
      </c>
      <c r="W15" s="11"/>
      <c r="X15" s="11">
        <f t="shared" si="8"/>
        <v>48</v>
      </c>
      <c r="Y15" s="13">
        <f t="shared" si="9"/>
        <v>5.5555555555555556E-4</v>
      </c>
      <c r="Z15" s="11">
        <f t="shared" si="10"/>
        <v>1</v>
      </c>
      <c r="AA15" s="16">
        <f>VLOOKUP(Z15,'Место-баллы'!$A$3:$B$52,2,0)</f>
        <v>100</v>
      </c>
      <c r="AB15" s="12"/>
      <c r="AC15" s="11"/>
      <c r="AD15" s="11"/>
      <c r="AE15" s="13">
        <f t="shared" si="11"/>
        <v>0</v>
      </c>
      <c r="AF15" s="11"/>
      <c r="AG15" s="11">
        <f t="shared" si="12"/>
        <v>950</v>
      </c>
      <c r="AH15" s="13">
        <f t="shared" si="13"/>
        <v>1.0995370370370371E-2</v>
      </c>
      <c r="AI15" s="11">
        <f t="shared" si="14"/>
        <v>1</v>
      </c>
      <c r="AJ15" s="16">
        <f>VLOOKUP(AI15,'Место-баллы'!$A$3:$B$52,2,0)</f>
        <v>100</v>
      </c>
      <c r="AK15" s="12"/>
      <c r="AL15" s="11"/>
      <c r="AM15" s="11"/>
      <c r="AN15" s="13">
        <f t="shared" si="15"/>
        <v>0</v>
      </c>
      <c r="AO15" s="11"/>
      <c r="AP15" s="11">
        <f t="shared" si="16"/>
        <v>190</v>
      </c>
      <c r="AQ15" s="13">
        <f t="shared" si="17"/>
        <v>2.1990740740740742E-3</v>
      </c>
      <c r="AR15" s="11">
        <f t="shared" si="18"/>
        <v>1</v>
      </c>
      <c r="AS15" s="16">
        <f>VLOOKUP(AR15,'Место-баллы'!$A$3:$B$52,2,0)</f>
        <v>100</v>
      </c>
      <c r="AT15" s="12"/>
      <c r="AU15" s="11"/>
      <c r="AV15" s="11"/>
      <c r="AW15" s="13">
        <f t="shared" si="19"/>
        <v>0</v>
      </c>
      <c r="AX15" s="11"/>
      <c r="AY15" s="11">
        <f t="shared" si="20"/>
        <v>90</v>
      </c>
      <c r="AZ15" s="13">
        <f t="shared" si="21"/>
        <v>1.0416666666666667E-3</v>
      </c>
      <c r="BA15" s="11">
        <f t="shared" si="22"/>
        <v>1</v>
      </c>
      <c r="BB15" s="16">
        <f>VLOOKUP(BA15,'Место-баллы'!$A$3:$B$52,2,0)</f>
        <v>100</v>
      </c>
    </row>
    <row r="16" spans="2:54" x14ac:dyDescent="0.25">
      <c r="B16" s="16">
        <f t="shared" si="1"/>
        <v>1</v>
      </c>
      <c r="C16" s="16">
        <f t="shared" si="0"/>
        <v>0</v>
      </c>
      <c r="D16" s="14"/>
      <c r="E16" s="9"/>
      <c r="F16" s="14"/>
      <c r="G16" s="16"/>
      <c r="H16" s="16" t="e">
        <f t="shared" si="2"/>
        <v>#N/A</v>
      </c>
      <c r="I16" s="16" t="e">
        <f>VLOOKUP(H16,'Место-баллы'!$A$3:$B$52,2,0)</f>
        <v>#N/A</v>
      </c>
      <c r="J16" s="14"/>
      <c r="K16" s="11"/>
      <c r="L16" s="11"/>
      <c r="M16" s="13">
        <f t="shared" si="3"/>
        <v>0</v>
      </c>
      <c r="N16" s="11"/>
      <c r="O16" s="11">
        <f t="shared" si="4"/>
        <v>120</v>
      </c>
      <c r="P16" s="13">
        <f t="shared" si="5"/>
        <v>1.3888888888888889E-3</v>
      </c>
      <c r="Q16" s="11">
        <f t="shared" si="6"/>
        <v>1</v>
      </c>
      <c r="R16" s="16">
        <f>VLOOKUP(Q16,'Место-баллы'!$A$3:$B$52,2,0)</f>
        <v>100</v>
      </c>
      <c r="S16" s="12"/>
      <c r="T16" s="11"/>
      <c r="U16" s="11"/>
      <c r="V16" s="13">
        <f t="shared" si="7"/>
        <v>0</v>
      </c>
      <c r="W16" s="11"/>
      <c r="X16" s="11">
        <f t="shared" si="8"/>
        <v>48</v>
      </c>
      <c r="Y16" s="13">
        <f t="shared" si="9"/>
        <v>5.5555555555555556E-4</v>
      </c>
      <c r="Z16" s="11">
        <f t="shared" si="10"/>
        <v>1</v>
      </c>
      <c r="AA16" s="16">
        <f>VLOOKUP(Z16,'Место-баллы'!$A$3:$B$52,2,0)</f>
        <v>100</v>
      </c>
      <c r="AB16" s="12"/>
      <c r="AC16" s="11"/>
      <c r="AD16" s="11"/>
      <c r="AE16" s="13">
        <f t="shared" si="11"/>
        <v>0</v>
      </c>
      <c r="AF16" s="11"/>
      <c r="AG16" s="11">
        <f t="shared" si="12"/>
        <v>950</v>
      </c>
      <c r="AH16" s="13">
        <f t="shared" si="13"/>
        <v>1.0995370370370371E-2</v>
      </c>
      <c r="AI16" s="11">
        <f t="shared" si="14"/>
        <v>1</v>
      </c>
      <c r="AJ16" s="16">
        <f>VLOOKUP(AI16,'Место-баллы'!$A$3:$B$52,2,0)</f>
        <v>100</v>
      </c>
      <c r="AK16" s="12"/>
      <c r="AL16" s="11"/>
      <c r="AM16" s="11"/>
      <c r="AN16" s="13">
        <f t="shared" si="15"/>
        <v>0</v>
      </c>
      <c r="AO16" s="11"/>
      <c r="AP16" s="11">
        <f t="shared" si="16"/>
        <v>190</v>
      </c>
      <c r="AQ16" s="13">
        <f t="shared" si="17"/>
        <v>2.1990740740740742E-3</v>
      </c>
      <c r="AR16" s="11">
        <f t="shared" si="18"/>
        <v>1</v>
      </c>
      <c r="AS16" s="16">
        <f>VLOOKUP(AR16,'Место-баллы'!$A$3:$B$52,2,0)</f>
        <v>100</v>
      </c>
      <c r="AT16" s="12"/>
      <c r="AU16" s="11"/>
      <c r="AV16" s="11"/>
      <c r="AW16" s="13">
        <f t="shared" si="19"/>
        <v>0</v>
      </c>
      <c r="AX16" s="11"/>
      <c r="AY16" s="11">
        <f t="shared" si="20"/>
        <v>90</v>
      </c>
      <c r="AZ16" s="13">
        <f t="shared" si="21"/>
        <v>1.0416666666666667E-3</v>
      </c>
      <c r="BA16" s="11">
        <f t="shared" si="22"/>
        <v>1</v>
      </c>
      <c r="BB16" s="16">
        <f>VLOOKUP(BA16,'Место-баллы'!$A$3:$B$52,2,0)</f>
        <v>100</v>
      </c>
    </row>
    <row r="17" spans="2:54" x14ac:dyDescent="0.25">
      <c r="B17" s="16">
        <f t="shared" si="1"/>
        <v>1</v>
      </c>
      <c r="C17" s="16">
        <f t="shared" si="0"/>
        <v>0</v>
      </c>
      <c r="D17" s="14"/>
      <c r="E17" s="9"/>
      <c r="F17" s="14"/>
      <c r="G17" s="16"/>
      <c r="H17" s="16" t="e">
        <f t="shared" si="2"/>
        <v>#N/A</v>
      </c>
      <c r="I17" s="16" t="e">
        <f>VLOOKUP(H17,'Место-баллы'!$A$3:$B$52,2,0)</f>
        <v>#N/A</v>
      </c>
      <c r="J17" s="14"/>
      <c r="K17" s="11"/>
      <c r="L17" s="11"/>
      <c r="M17" s="13">
        <f t="shared" si="3"/>
        <v>0</v>
      </c>
      <c r="N17" s="11"/>
      <c r="O17" s="11">
        <f t="shared" si="4"/>
        <v>120</v>
      </c>
      <c r="P17" s="13">
        <f t="shared" si="5"/>
        <v>1.3888888888888889E-3</v>
      </c>
      <c r="Q17" s="11">
        <f t="shared" si="6"/>
        <v>1</v>
      </c>
      <c r="R17" s="16">
        <f>VLOOKUP(Q17,'Место-баллы'!$A$3:$B$52,2,0)</f>
        <v>100</v>
      </c>
      <c r="S17" s="12"/>
      <c r="T17" s="11"/>
      <c r="U17" s="11"/>
      <c r="V17" s="13">
        <f t="shared" si="7"/>
        <v>0</v>
      </c>
      <c r="W17" s="11"/>
      <c r="X17" s="11">
        <f t="shared" si="8"/>
        <v>48</v>
      </c>
      <c r="Y17" s="13">
        <f t="shared" si="9"/>
        <v>5.5555555555555556E-4</v>
      </c>
      <c r="Z17" s="11">
        <f t="shared" si="10"/>
        <v>1</v>
      </c>
      <c r="AA17" s="16">
        <f>VLOOKUP(Z17,'Место-баллы'!$A$3:$B$52,2,0)</f>
        <v>100</v>
      </c>
      <c r="AB17" s="12"/>
      <c r="AC17" s="11"/>
      <c r="AD17" s="11"/>
      <c r="AE17" s="13">
        <f t="shared" si="11"/>
        <v>0</v>
      </c>
      <c r="AF17" s="11"/>
      <c r="AG17" s="11">
        <f t="shared" si="12"/>
        <v>950</v>
      </c>
      <c r="AH17" s="13">
        <f t="shared" si="13"/>
        <v>1.0995370370370371E-2</v>
      </c>
      <c r="AI17" s="11">
        <f t="shared" si="14"/>
        <v>1</v>
      </c>
      <c r="AJ17" s="16">
        <f>VLOOKUP(AI17,'Место-баллы'!$A$3:$B$52,2,0)</f>
        <v>100</v>
      </c>
      <c r="AK17" s="12"/>
      <c r="AL17" s="11"/>
      <c r="AM17" s="11"/>
      <c r="AN17" s="13">
        <f t="shared" si="15"/>
        <v>0</v>
      </c>
      <c r="AO17" s="11"/>
      <c r="AP17" s="11">
        <f t="shared" si="16"/>
        <v>190</v>
      </c>
      <c r="AQ17" s="13">
        <f t="shared" si="17"/>
        <v>2.1990740740740742E-3</v>
      </c>
      <c r="AR17" s="11">
        <f t="shared" si="18"/>
        <v>1</v>
      </c>
      <c r="AS17" s="16">
        <f>VLOOKUP(AR17,'Место-баллы'!$A$3:$B$52,2,0)</f>
        <v>100</v>
      </c>
      <c r="AT17" s="12"/>
      <c r="AU17" s="11"/>
      <c r="AV17" s="11"/>
      <c r="AW17" s="13">
        <f t="shared" si="19"/>
        <v>0</v>
      </c>
      <c r="AX17" s="11"/>
      <c r="AY17" s="11">
        <f t="shared" si="20"/>
        <v>90</v>
      </c>
      <c r="AZ17" s="13">
        <f t="shared" si="21"/>
        <v>1.0416666666666667E-3</v>
      </c>
      <c r="BA17" s="11">
        <f t="shared" si="22"/>
        <v>1</v>
      </c>
      <c r="BB17" s="16">
        <f>VLOOKUP(BA17,'Место-баллы'!$A$3:$B$52,2,0)</f>
        <v>100</v>
      </c>
    </row>
    <row r="18" spans="2:54" x14ac:dyDescent="0.25">
      <c r="B18" s="16">
        <f t="shared" si="1"/>
        <v>1</v>
      </c>
      <c r="C18" s="16">
        <f t="shared" si="0"/>
        <v>0</v>
      </c>
      <c r="D18" s="14"/>
      <c r="E18" s="9"/>
      <c r="F18" s="14"/>
      <c r="G18" s="16"/>
      <c r="H18" s="16" t="e">
        <f t="shared" si="2"/>
        <v>#N/A</v>
      </c>
      <c r="I18" s="16" t="e">
        <f>VLOOKUP(H18,'Место-баллы'!$A$3:$B$52,2,0)</f>
        <v>#N/A</v>
      </c>
      <c r="J18" s="14"/>
      <c r="K18" s="11"/>
      <c r="L18" s="11"/>
      <c r="M18" s="13">
        <f t="shared" si="3"/>
        <v>0</v>
      </c>
      <c r="N18" s="11"/>
      <c r="O18" s="11">
        <f t="shared" si="4"/>
        <v>120</v>
      </c>
      <c r="P18" s="13">
        <f t="shared" si="5"/>
        <v>1.3888888888888889E-3</v>
      </c>
      <c r="Q18" s="11">
        <f t="shared" si="6"/>
        <v>1</v>
      </c>
      <c r="R18" s="16">
        <f>VLOOKUP(Q18,'Место-баллы'!$A$3:$B$52,2,0)</f>
        <v>100</v>
      </c>
      <c r="S18" s="12"/>
      <c r="T18" s="11"/>
      <c r="U18" s="11"/>
      <c r="V18" s="13">
        <f t="shared" si="7"/>
        <v>0</v>
      </c>
      <c r="W18" s="11"/>
      <c r="X18" s="11">
        <f t="shared" si="8"/>
        <v>48</v>
      </c>
      <c r="Y18" s="13">
        <f t="shared" si="9"/>
        <v>5.5555555555555556E-4</v>
      </c>
      <c r="Z18" s="11">
        <f t="shared" si="10"/>
        <v>1</v>
      </c>
      <c r="AA18" s="16">
        <f>VLOOKUP(Z18,'Место-баллы'!$A$3:$B$52,2,0)</f>
        <v>100</v>
      </c>
      <c r="AB18" s="12"/>
      <c r="AC18" s="11"/>
      <c r="AD18" s="11"/>
      <c r="AE18" s="13">
        <f t="shared" si="11"/>
        <v>0</v>
      </c>
      <c r="AF18" s="11"/>
      <c r="AG18" s="11">
        <f t="shared" si="12"/>
        <v>950</v>
      </c>
      <c r="AH18" s="13">
        <f t="shared" si="13"/>
        <v>1.0995370370370371E-2</v>
      </c>
      <c r="AI18" s="11">
        <f t="shared" si="14"/>
        <v>1</v>
      </c>
      <c r="AJ18" s="16">
        <f>VLOOKUP(AI18,'Место-баллы'!$A$3:$B$52,2,0)</f>
        <v>100</v>
      </c>
      <c r="AK18" s="12"/>
      <c r="AL18" s="11"/>
      <c r="AM18" s="11"/>
      <c r="AN18" s="13">
        <f t="shared" si="15"/>
        <v>0</v>
      </c>
      <c r="AO18" s="11"/>
      <c r="AP18" s="11">
        <f t="shared" si="16"/>
        <v>190</v>
      </c>
      <c r="AQ18" s="13">
        <f t="shared" si="17"/>
        <v>2.1990740740740742E-3</v>
      </c>
      <c r="AR18" s="11">
        <f t="shared" si="18"/>
        <v>1</v>
      </c>
      <c r="AS18" s="16">
        <f>VLOOKUP(AR18,'Место-баллы'!$A$3:$B$52,2,0)</f>
        <v>100</v>
      </c>
      <c r="AT18" s="12"/>
      <c r="AU18" s="11"/>
      <c r="AV18" s="11"/>
      <c r="AW18" s="13">
        <f t="shared" si="19"/>
        <v>0</v>
      </c>
      <c r="AX18" s="11"/>
      <c r="AY18" s="11">
        <f t="shared" si="20"/>
        <v>90</v>
      </c>
      <c r="AZ18" s="13">
        <f t="shared" si="21"/>
        <v>1.0416666666666667E-3</v>
      </c>
      <c r="BA18" s="11">
        <f t="shared" si="22"/>
        <v>1</v>
      </c>
      <c r="BB18" s="16">
        <f>VLOOKUP(BA18,'Место-баллы'!$A$3:$B$52,2,0)</f>
        <v>100</v>
      </c>
    </row>
    <row r="19" spans="2:54" x14ac:dyDescent="0.25">
      <c r="B19" s="16">
        <f t="shared" si="1"/>
        <v>1</v>
      </c>
      <c r="C19" s="16">
        <f t="shared" si="0"/>
        <v>0</v>
      </c>
      <c r="D19" s="14"/>
      <c r="E19" s="9"/>
      <c r="F19" s="14"/>
      <c r="G19" s="16"/>
      <c r="H19" s="16" t="e">
        <f t="shared" si="2"/>
        <v>#N/A</v>
      </c>
      <c r="I19" s="16" t="e">
        <f>VLOOKUP(H19,'Место-баллы'!$A$3:$B$52,2,0)</f>
        <v>#N/A</v>
      </c>
      <c r="J19" s="14"/>
      <c r="K19" s="11"/>
      <c r="L19" s="11"/>
      <c r="M19" s="13">
        <f t="shared" si="3"/>
        <v>0</v>
      </c>
      <c r="N19" s="11"/>
      <c r="O19" s="11">
        <f t="shared" si="4"/>
        <v>120</v>
      </c>
      <c r="P19" s="13">
        <f t="shared" si="5"/>
        <v>1.3888888888888889E-3</v>
      </c>
      <c r="Q19" s="11">
        <f t="shared" si="6"/>
        <v>1</v>
      </c>
      <c r="R19" s="16">
        <f>VLOOKUP(Q19,'Место-баллы'!$A$3:$B$52,2,0)</f>
        <v>100</v>
      </c>
      <c r="S19" s="12"/>
      <c r="T19" s="11"/>
      <c r="U19" s="11"/>
      <c r="V19" s="13">
        <f t="shared" si="7"/>
        <v>0</v>
      </c>
      <c r="W19" s="11"/>
      <c r="X19" s="11">
        <f t="shared" si="8"/>
        <v>48</v>
      </c>
      <c r="Y19" s="13">
        <f t="shared" si="9"/>
        <v>5.5555555555555556E-4</v>
      </c>
      <c r="Z19" s="11">
        <f t="shared" si="10"/>
        <v>1</v>
      </c>
      <c r="AA19" s="16">
        <f>VLOOKUP(Z19,'Место-баллы'!$A$3:$B$52,2,0)</f>
        <v>100</v>
      </c>
      <c r="AB19" s="12"/>
      <c r="AC19" s="11"/>
      <c r="AD19" s="11"/>
      <c r="AE19" s="13">
        <f t="shared" si="11"/>
        <v>0</v>
      </c>
      <c r="AF19" s="11"/>
      <c r="AG19" s="11">
        <f t="shared" si="12"/>
        <v>950</v>
      </c>
      <c r="AH19" s="13">
        <f t="shared" si="13"/>
        <v>1.0995370370370371E-2</v>
      </c>
      <c r="AI19" s="11">
        <f t="shared" si="14"/>
        <v>1</v>
      </c>
      <c r="AJ19" s="16">
        <f>VLOOKUP(AI19,'Место-баллы'!$A$3:$B$52,2,0)</f>
        <v>100</v>
      </c>
      <c r="AK19" s="12"/>
      <c r="AL19" s="11"/>
      <c r="AM19" s="11"/>
      <c r="AN19" s="13">
        <f t="shared" si="15"/>
        <v>0</v>
      </c>
      <c r="AO19" s="11"/>
      <c r="AP19" s="11">
        <f t="shared" si="16"/>
        <v>190</v>
      </c>
      <c r="AQ19" s="13">
        <f t="shared" si="17"/>
        <v>2.1990740740740742E-3</v>
      </c>
      <c r="AR19" s="11">
        <f t="shared" si="18"/>
        <v>1</v>
      </c>
      <c r="AS19" s="16">
        <f>VLOOKUP(AR19,'Место-баллы'!$A$3:$B$52,2,0)</f>
        <v>100</v>
      </c>
      <c r="AT19" s="12"/>
      <c r="AU19" s="11"/>
      <c r="AV19" s="11"/>
      <c r="AW19" s="13">
        <f t="shared" si="19"/>
        <v>0</v>
      </c>
      <c r="AX19" s="11"/>
      <c r="AY19" s="11">
        <f t="shared" si="20"/>
        <v>90</v>
      </c>
      <c r="AZ19" s="13">
        <f t="shared" si="21"/>
        <v>1.0416666666666667E-3</v>
      </c>
      <c r="BA19" s="11">
        <f t="shared" si="22"/>
        <v>1</v>
      </c>
      <c r="BB19" s="16">
        <f>VLOOKUP(BA19,'Место-баллы'!$A$3:$B$52,2,0)</f>
        <v>100</v>
      </c>
    </row>
    <row r="20" spans="2:54" x14ac:dyDescent="0.25">
      <c r="B20" s="16">
        <f t="shared" si="1"/>
        <v>1</v>
      </c>
      <c r="C20" s="16">
        <f t="shared" si="0"/>
        <v>0</v>
      </c>
      <c r="D20" s="14"/>
      <c r="E20" s="9"/>
      <c r="F20" s="14"/>
      <c r="G20" s="16"/>
      <c r="H20" s="16" t="e">
        <f t="shared" si="2"/>
        <v>#N/A</v>
      </c>
      <c r="I20" s="16" t="e">
        <f>VLOOKUP(H20,'Место-баллы'!$A$3:$B$52,2,0)</f>
        <v>#N/A</v>
      </c>
      <c r="J20" s="14"/>
      <c r="K20" s="11"/>
      <c r="L20" s="11"/>
      <c r="M20" s="13">
        <f t="shared" si="3"/>
        <v>0</v>
      </c>
      <c r="N20" s="11"/>
      <c r="O20" s="11">
        <f t="shared" si="4"/>
        <v>120</v>
      </c>
      <c r="P20" s="13">
        <f t="shared" si="5"/>
        <v>1.3888888888888889E-3</v>
      </c>
      <c r="Q20" s="11">
        <f t="shared" si="6"/>
        <v>1</v>
      </c>
      <c r="R20" s="16">
        <f>VLOOKUP(Q20,'Место-баллы'!$A$3:$B$52,2,0)</f>
        <v>100</v>
      </c>
      <c r="S20" s="12"/>
      <c r="T20" s="11"/>
      <c r="U20" s="11"/>
      <c r="V20" s="13">
        <f t="shared" si="7"/>
        <v>0</v>
      </c>
      <c r="W20" s="11"/>
      <c r="X20" s="11">
        <f t="shared" si="8"/>
        <v>48</v>
      </c>
      <c r="Y20" s="13">
        <f t="shared" si="9"/>
        <v>5.5555555555555556E-4</v>
      </c>
      <c r="Z20" s="11">
        <f t="shared" si="10"/>
        <v>1</v>
      </c>
      <c r="AA20" s="16">
        <f>VLOOKUP(Z20,'Место-баллы'!$A$3:$B$52,2,0)</f>
        <v>100</v>
      </c>
      <c r="AB20" s="12"/>
      <c r="AC20" s="11"/>
      <c r="AD20" s="11"/>
      <c r="AE20" s="13">
        <f t="shared" si="11"/>
        <v>0</v>
      </c>
      <c r="AF20" s="11"/>
      <c r="AG20" s="11">
        <f t="shared" si="12"/>
        <v>950</v>
      </c>
      <c r="AH20" s="13">
        <f t="shared" si="13"/>
        <v>1.0995370370370371E-2</v>
      </c>
      <c r="AI20" s="11">
        <f t="shared" si="14"/>
        <v>1</v>
      </c>
      <c r="AJ20" s="16">
        <f>VLOOKUP(AI20,'Место-баллы'!$A$3:$B$52,2,0)</f>
        <v>100</v>
      </c>
      <c r="AK20" s="12"/>
      <c r="AL20" s="11"/>
      <c r="AM20" s="11"/>
      <c r="AN20" s="13">
        <f t="shared" si="15"/>
        <v>0</v>
      </c>
      <c r="AO20" s="11"/>
      <c r="AP20" s="11">
        <f t="shared" si="16"/>
        <v>190</v>
      </c>
      <c r="AQ20" s="13">
        <f t="shared" si="17"/>
        <v>2.1990740740740742E-3</v>
      </c>
      <c r="AR20" s="11">
        <f t="shared" si="18"/>
        <v>1</v>
      </c>
      <c r="AS20" s="16">
        <f>VLOOKUP(AR20,'Место-баллы'!$A$3:$B$52,2,0)</f>
        <v>100</v>
      </c>
      <c r="AT20" s="12"/>
      <c r="AU20" s="11"/>
      <c r="AV20" s="11"/>
      <c r="AW20" s="13">
        <f t="shared" si="19"/>
        <v>0</v>
      </c>
      <c r="AX20" s="11"/>
      <c r="AY20" s="11">
        <f t="shared" si="20"/>
        <v>90</v>
      </c>
      <c r="AZ20" s="13">
        <f t="shared" si="21"/>
        <v>1.0416666666666667E-3</v>
      </c>
      <c r="BA20" s="11">
        <f t="shared" si="22"/>
        <v>1</v>
      </c>
      <c r="BB20" s="16">
        <f>VLOOKUP(BA20,'Место-баллы'!$A$3:$B$52,2,0)</f>
        <v>100</v>
      </c>
    </row>
    <row r="21" spans="2:54" x14ac:dyDescent="0.25">
      <c r="B21" s="16">
        <f t="shared" si="1"/>
        <v>1</v>
      </c>
      <c r="C21" s="16">
        <f t="shared" si="0"/>
        <v>0</v>
      </c>
      <c r="D21" s="14"/>
      <c r="E21" s="9"/>
      <c r="F21" s="14"/>
      <c r="G21" s="16"/>
      <c r="H21" s="16" t="e">
        <f t="shared" si="2"/>
        <v>#N/A</v>
      </c>
      <c r="I21" s="16" t="e">
        <f>VLOOKUP(H21,'Место-баллы'!$A$3:$B$52,2,0)</f>
        <v>#N/A</v>
      </c>
      <c r="J21" s="14"/>
      <c r="K21" s="11"/>
      <c r="L21" s="11"/>
      <c r="M21" s="13">
        <f t="shared" si="3"/>
        <v>0</v>
      </c>
      <c r="N21" s="11"/>
      <c r="O21" s="11">
        <f t="shared" si="4"/>
        <v>120</v>
      </c>
      <c r="P21" s="13">
        <f t="shared" si="5"/>
        <v>1.3888888888888889E-3</v>
      </c>
      <c r="Q21" s="11">
        <f t="shared" si="6"/>
        <v>1</v>
      </c>
      <c r="R21" s="16">
        <f>VLOOKUP(Q21,'Место-баллы'!$A$3:$B$52,2,0)</f>
        <v>100</v>
      </c>
      <c r="S21" s="12"/>
      <c r="T21" s="11"/>
      <c r="U21" s="11"/>
      <c r="V21" s="13">
        <f t="shared" si="7"/>
        <v>0</v>
      </c>
      <c r="W21" s="11"/>
      <c r="X21" s="11">
        <f t="shared" si="8"/>
        <v>48</v>
      </c>
      <c r="Y21" s="13">
        <f t="shared" si="9"/>
        <v>5.5555555555555556E-4</v>
      </c>
      <c r="Z21" s="11">
        <f t="shared" si="10"/>
        <v>1</v>
      </c>
      <c r="AA21" s="16">
        <f>VLOOKUP(Z21,'Место-баллы'!$A$3:$B$52,2,0)</f>
        <v>100</v>
      </c>
      <c r="AB21" s="12"/>
      <c r="AC21" s="11"/>
      <c r="AD21" s="11"/>
      <c r="AE21" s="13">
        <f t="shared" si="11"/>
        <v>0</v>
      </c>
      <c r="AF21" s="11"/>
      <c r="AG21" s="11">
        <f t="shared" si="12"/>
        <v>950</v>
      </c>
      <c r="AH21" s="13">
        <f t="shared" si="13"/>
        <v>1.0995370370370371E-2</v>
      </c>
      <c r="AI21" s="11">
        <f t="shared" si="14"/>
        <v>1</v>
      </c>
      <c r="AJ21" s="16">
        <f>VLOOKUP(AI21,'Место-баллы'!$A$3:$B$52,2,0)</f>
        <v>100</v>
      </c>
      <c r="AK21" s="12"/>
      <c r="AL21" s="11"/>
      <c r="AM21" s="11"/>
      <c r="AN21" s="13">
        <f t="shared" si="15"/>
        <v>0</v>
      </c>
      <c r="AO21" s="11"/>
      <c r="AP21" s="11">
        <f t="shared" si="16"/>
        <v>190</v>
      </c>
      <c r="AQ21" s="13">
        <f t="shared" si="17"/>
        <v>2.1990740740740742E-3</v>
      </c>
      <c r="AR21" s="11">
        <f t="shared" si="18"/>
        <v>1</v>
      </c>
      <c r="AS21" s="16">
        <f>VLOOKUP(AR21,'Место-баллы'!$A$3:$B$52,2,0)</f>
        <v>100</v>
      </c>
      <c r="AT21" s="12"/>
      <c r="AU21" s="11"/>
      <c r="AV21" s="11"/>
      <c r="AW21" s="13">
        <f t="shared" si="19"/>
        <v>0</v>
      </c>
      <c r="AX21" s="11"/>
      <c r="AY21" s="11">
        <f t="shared" si="20"/>
        <v>90</v>
      </c>
      <c r="AZ21" s="13">
        <f t="shared" si="21"/>
        <v>1.0416666666666667E-3</v>
      </c>
      <c r="BA21" s="11">
        <f t="shared" si="22"/>
        <v>1</v>
      </c>
      <c r="BB21" s="16">
        <f>VLOOKUP(BA21,'Место-баллы'!$A$3:$B$52,2,0)</f>
        <v>100</v>
      </c>
    </row>
    <row r="22" spans="2:54" x14ac:dyDescent="0.25">
      <c r="B22" s="16">
        <f t="shared" si="1"/>
        <v>1</v>
      </c>
      <c r="C22" s="16">
        <f t="shared" si="0"/>
        <v>0</v>
      </c>
      <c r="D22" s="14"/>
      <c r="E22" s="9"/>
      <c r="F22" s="14"/>
      <c r="G22" s="16"/>
      <c r="H22" s="16" t="e">
        <f t="shared" si="2"/>
        <v>#N/A</v>
      </c>
      <c r="I22" s="16" t="e">
        <f>VLOOKUP(H22,'Место-баллы'!$A$3:$B$52,2,0)</f>
        <v>#N/A</v>
      </c>
      <c r="J22" s="14"/>
      <c r="K22" s="11"/>
      <c r="L22" s="11"/>
      <c r="M22" s="13">
        <f t="shared" si="3"/>
        <v>0</v>
      </c>
      <c r="N22" s="11"/>
      <c r="O22" s="11">
        <f t="shared" si="4"/>
        <v>120</v>
      </c>
      <c r="P22" s="13">
        <f t="shared" si="5"/>
        <v>1.3888888888888889E-3</v>
      </c>
      <c r="Q22" s="11">
        <f t="shared" si="6"/>
        <v>1</v>
      </c>
      <c r="R22" s="16">
        <f>VLOOKUP(Q22,'Место-баллы'!$A$3:$B$52,2,0)</f>
        <v>100</v>
      </c>
      <c r="S22" s="12"/>
      <c r="T22" s="11"/>
      <c r="U22" s="11"/>
      <c r="V22" s="13">
        <f t="shared" si="7"/>
        <v>0</v>
      </c>
      <c r="W22" s="11"/>
      <c r="X22" s="11">
        <f t="shared" si="8"/>
        <v>48</v>
      </c>
      <c r="Y22" s="13">
        <f t="shared" si="9"/>
        <v>5.5555555555555556E-4</v>
      </c>
      <c r="Z22" s="11">
        <f t="shared" si="10"/>
        <v>1</v>
      </c>
      <c r="AA22" s="16">
        <f>VLOOKUP(Z22,'Место-баллы'!$A$3:$B$52,2,0)</f>
        <v>100</v>
      </c>
      <c r="AB22" s="12"/>
      <c r="AC22" s="11"/>
      <c r="AD22" s="11"/>
      <c r="AE22" s="13">
        <f t="shared" si="11"/>
        <v>0</v>
      </c>
      <c r="AF22" s="11"/>
      <c r="AG22" s="11">
        <f t="shared" si="12"/>
        <v>950</v>
      </c>
      <c r="AH22" s="13">
        <f t="shared" si="13"/>
        <v>1.0995370370370371E-2</v>
      </c>
      <c r="AI22" s="11">
        <f t="shared" si="14"/>
        <v>1</v>
      </c>
      <c r="AJ22" s="16">
        <f>VLOOKUP(AI22,'Место-баллы'!$A$3:$B$52,2,0)</f>
        <v>100</v>
      </c>
      <c r="AK22" s="12"/>
      <c r="AL22" s="11"/>
      <c r="AM22" s="11"/>
      <c r="AN22" s="13">
        <f t="shared" si="15"/>
        <v>0</v>
      </c>
      <c r="AO22" s="11"/>
      <c r="AP22" s="11">
        <f t="shared" si="16"/>
        <v>190</v>
      </c>
      <c r="AQ22" s="13">
        <f t="shared" si="17"/>
        <v>2.1990740740740742E-3</v>
      </c>
      <c r="AR22" s="11">
        <f t="shared" si="18"/>
        <v>1</v>
      </c>
      <c r="AS22" s="16">
        <f>VLOOKUP(AR22,'Место-баллы'!$A$3:$B$52,2,0)</f>
        <v>100</v>
      </c>
      <c r="AT22" s="12"/>
      <c r="AU22" s="11"/>
      <c r="AV22" s="11"/>
      <c r="AW22" s="13">
        <f t="shared" si="19"/>
        <v>0</v>
      </c>
      <c r="AX22" s="11"/>
      <c r="AY22" s="11">
        <f t="shared" si="20"/>
        <v>90</v>
      </c>
      <c r="AZ22" s="13">
        <f t="shared" si="21"/>
        <v>1.0416666666666667E-3</v>
      </c>
      <c r="BA22" s="11">
        <f t="shared" si="22"/>
        <v>1</v>
      </c>
      <c r="BB22" s="16">
        <f>VLOOKUP(BA22,'Место-баллы'!$A$3:$B$52,2,0)</f>
        <v>100</v>
      </c>
    </row>
    <row r="23" spans="2:54" x14ac:dyDescent="0.25">
      <c r="B23" s="16">
        <f t="shared" si="1"/>
        <v>1</v>
      </c>
      <c r="C23" s="16">
        <f t="shared" si="0"/>
        <v>0</v>
      </c>
      <c r="D23" s="14"/>
      <c r="E23" s="9"/>
      <c r="F23" s="14"/>
      <c r="G23" s="16"/>
      <c r="H23" s="16" t="e">
        <f t="shared" si="2"/>
        <v>#N/A</v>
      </c>
      <c r="I23" s="16" t="e">
        <f>VLOOKUP(H23,'Место-баллы'!$A$3:$B$52,2,0)</f>
        <v>#N/A</v>
      </c>
      <c r="J23" s="14"/>
      <c r="K23" s="11"/>
      <c r="L23" s="11"/>
      <c r="M23" s="13">
        <f t="shared" si="3"/>
        <v>0</v>
      </c>
      <c r="N23" s="11"/>
      <c r="O23" s="11">
        <f t="shared" si="4"/>
        <v>120</v>
      </c>
      <c r="P23" s="13">
        <f t="shared" si="5"/>
        <v>1.3888888888888889E-3</v>
      </c>
      <c r="Q23" s="11">
        <f t="shared" si="6"/>
        <v>1</v>
      </c>
      <c r="R23" s="16">
        <f>VLOOKUP(Q23,'Место-баллы'!$A$3:$B$52,2,0)</f>
        <v>100</v>
      </c>
      <c r="S23" s="12"/>
      <c r="T23" s="11"/>
      <c r="U23" s="11"/>
      <c r="V23" s="13">
        <f t="shared" si="7"/>
        <v>0</v>
      </c>
      <c r="W23" s="11"/>
      <c r="X23" s="11">
        <f t="shared" si="8"/>
        <v>48</v>
      </c>
      <c r="Y23" s="13">
        <f t="shared" si="9"/>
        <v>5.5555555555555556E-4</v>
      </c>
      <c r="Z23" s="11">
        <f t="shared" si="10"/>
        <v>1</v>
      </c>
      <c r="AA23" s="16">
        <f>VLOOKUP(Z23,'Место-баллы'!$A$3:$B$52,2,0)</f>
        <v>100</v>
      </c>
      <c r="AB23" s="12"/>
      <c r="AC23" s="11"/>
      <c r="AD23" s="11"/>
      <c r="AE23" s="13">
        <f t="shared" si="11"/>
        <v>0</v>
      </c>
      <c r="AF23" s="11"/>
      <c r="AG23" s="11">
        <f t="shared" si="12"/>
        <v>950</v>
      </c>
      <c r="AH23" s="13">
        <f t="shared" si="13"/>
        <v>1.0995370370370371E-2</v>
      </c>
      <c r="AI23" s="11">
        <f t="shared" si="14"/>
        <v>1</v>
      </c>
      <c r="AJ23" s="16">
        <f>VLOOKUP(AI23,'Место-баллы'!$A$3:$B$52,2,0)</f>
        <v>100</v>
      </c>
      <c r="AK23" s="12"/>
      <c r="AL23" s="11"/>
      <c r="AM23" s="11"/>
      <c r="AN23" s="13">
        <f t="shared" si="15"/>
        <v>0</v>
      </c>
      <c r="AO23" s="11"/>
      <c r="AP23" s="11">
        <f t="shared" si="16"/>
        <v>190</v>
      </c>
      <c r="AQ23" s="13">
        <f t="shared" si="17"/>
        <v>2.1990740740740742E-3</v>
      </c>
      <c r="AR23" s="11">
        <f t="shared" si="18"/>
        <v>1</v>
      </c>
      <c r="AS23" s="16">
        <f>VLOOKUP(AR23,'Место-баллы'!$A$3:$B$52,2,0)</f>
        <v>100</v>
      </c>
      <c r="AT23" s="12"/>
      <c r="AU23" s="11"/>
      <c r="AV23" s="11"/>
      <c r="AW23" s="13">
        <f t="shared" si="19"/>
        <v>0</v>
      </c>
      <c r="AX23" s="11"/>
      <c r="AY23" s="11">
        <f t="shared" si="20"/>
        <v>90</v>
      </c>
      <c r="AZ23" s="13">
        <f t="shared" si="21"/>
        <v>1.0416666666666667E-3</v>
      </c>
      <c r="BA23" s="11">
        <f t="shared" si="22"/>
        <v>1</v>
      </c>
      <c r="BB23" s="16">
        <f>VLOOKUP(BA23,'Место-баллы'!$A$3:$B$52,2,0)</f>
        <v>100</v>
      </c>
    </row>
    <row r="24" spans="2:54" x14ac:dyDescent="0.25">
      <c r="B24" s="16">
        <f t="shared" si="1"/>
        <v>1</v>
      </c>
      <c r="C24" s="16">
        <f t="shared" si="0"/>
        <v>0</v>
      </c>
      <c r="D24" s="14"/>
      <c r="E24" s="9"/>
      <c r="F24" s="14"/>
      <c r="G24" s="16"/>
      <c r="H24" s="16" t="e">
        <f t="shared" si="2"/>
        <v>#N/A</v>
      </c>
      <c r="I24" s="16" t="e">
        <f>VLOOKUP(H24,'Место-баллы'!$A$3:$B$52,2,0)</f>
        <v>#N/A</v>
      </c>
      <c r="J24" s="14"/>
      <c r="K24" s="11"/>
      <c r="L24" s="11"/>
      <c r="M24" s="13">
        <f t="shared" si="3"/>
        <v>0</v>
      </c>
      <c r="N24" s="11"/>
      <c r="O24" s="11">
        <f t="shared" si="4"/>
        <v>120</v>
      </c>
      <c r="P24" s="13">
        <f t="shared" si="5"/>
        <v>1.3888888888888889E-3</v>
      </c>
      <c r="Q24" s="11">
        <f t="shared" si="6"/>
        <v>1</v>
      </c>
      <c r="R24" s="16">
        <f>VLOOKUP(Q24,'Место-баллы'!$A$3:$B$52,2,0)</f>
        <v>100</v>
      </c>
      <c r="S24" s="12"/>
      <c r="T24" s="11"/>
      <c r="U24" s="11"/>
      <c r="V24" s="13">
        <f t="shared" si="7"/>
        <v>0</v>
      </c>
      <c r="W24" s="11"/>
      <c r="X24" s="11">
        <f t="shared" si="8"/>
        <v>48</v>
      </c>
      <c r="Y24" s="13">
        <f t="shared" si="9"/>
        <v>5.5555555555555556E-4</v>
      </c>
      <c r="Z24" s="11">
        <f t="shared" si="10"/>
        <v>1</v>
      </c>
      <c r="AA24" s="16">
        <f>VLOOKUP(Z24,'Место-баллы'!$A$3:$B$52,2,0)</f>
        <v>100</v>
      </c>
      <c r="AB24" s="12"/>
      <c r="AC24" s="11"/>
      <c r="AD24" s="11"/>
      <c r="AE24" s="13">
        <f t="shared" si="11"/>
        <v>0</v>
      </c>
      <c r="AF24" s="11"/>
      <c r="AG24" s="11">
        <f t="shared" si="12"/>
        <v>950</v>
      </c>
      <c r="AH24" s="13">
        <f t="shared" si="13"/>
        <v>1.0995370370370371E-2</v>
      </c>
      <c r="AI24" s="11">
        <f t="shared" si="14"/>
        <v>1</v>
      </c>
      <c r="AJ24" s="16">
        <f>VLOOKUP(AI24,'Место-баллы'!$A$3:$B$52,2,0)</f>
        <v>100</v>
      </c>
      <c r="AK24" s="12"/>
      <c r="AL24" s="11"/>
      <c r="AM24" s="11"/>
      <c r="AN24" s="13">
        <f t="shared" si="15"/>
        <v>0</v>
      </c>
      <c r="AO24" s="11"/>
      <c r="AP24" s="11">
        <f t="shared" si="16"/>
        <v>190</v>
      </c>
      <c r="AQ24" s="13">
        <f t="shared" si="17"/>
        <v>2.1990740740740742E-3</v>
      </c>
      <c r="AR24" s="11">
        <f t="shared" si="18"/>
        <v>1</v>
      </c>
      <c r="AS24" s="16">
        <f>VLOOKUP(AR24,'Место-баллы'!$A$3:$B$52,2,0)</f>
        <v>100</v>
      </c>
      <c r="AT24" s="12"/>
      <c r="AU24" s="11"/>
      <c r="AV24" s="11"/>
      <c r="AW24" s="13">
        <f t="shared" si="19"/>
        <v>0</v>
      </c>
      <c r="AX24" s="11"/>
      <c r="AY24" s="11">
        <f t="shared" si="20"/>
        <v>90</v>
      </c>
      <c r="AZ24" s="13">
        <f t="shared" si="21"/>
        <v>1.0416666666666667E-3</v>
      </c>
      <c r="BA24" s="11">
        <f t="shared" si="22"/>
        <v>1</v>
      </c>
      <c r="BB24" s="16">
        <f>VLOOKUP(BA24,'Место-баллы'!$A$3:$B$52,2,0)</f>
        <v>100</v>
      </c>
    </row>
    <row r="25" spans="2:54" x14ac:dyDescent="0.25">
      <c r="B25" s="16">
        <f t="shared" si="1"/>
        <v>1</v>
      </c>
      <c r="C25" s="16">
        <f t="shared" si="0"/>
        <v>0</v>
      </c>
      <c r="D25" s="14"/>
      <c r="E25" s="9"/>
      <c r="F25" s="14"/>
      <c r="G25" s="16"/>
      <c r="H25" s="16" t="e">
        <f t="shared" si="2"/>
        <v>#N/A</v>
      </c>
      <c r="I25" s="16" t="e">
        <f>VLOOKUP(H25,'Место-баллы'!$A$3:$B$52,2,0)</f>
        <v>#N/A</v>
      </c>
      <c r="J25" s="14"/>
      <c r="K25" s="11"/>
      <c r="L25" s="11"/>
      <c r="M25" s="13">
        <f t="shared" si="3"/>
        <v>0</v>
      </c>
      <c r="N25" s="11"/>
      <c r="O25" s="11">
        <f t="shared" si="4"/>
        <v>120</v>
      </c>
      <c r="P25" s="13">
        <f t="shared" si="5"/>
        <v>1.3888888888888889E-3</v>
      </c>
      <c r="Q25" s="11">
        <f t="shared" si="6"/>
        <v>1</v>
      </c>
      <c r="R25" s="16">
        <f>VLOOKUP(Q25,'Место-баллы'!$A$3:$B$52,2,0)</f>
        <v>100</v>
      </c>
      <c r="S25" s="12"/>
      <c r="T25" s="11"/>
      <c r="U25" s="11"/>
      <c r="V25" s="13">
        <f t="shared" si="7"/>
        <v>0</v>
      </c>
      <c r="W25" s="11"/>
      <c r="X25" s="11">
        <f t="shared" si="8"/>
        <v>48</v>
      </c>
      <c r="Y25" s="13">
        <f t="shared" si="9"/>
        <v>5.5555555555555556E-4</v>
      </c>
      <c r="Z25" s="11">
        <f t="shared" si="10"/>
        <v>1</v>
      </c>
      <c r="AA25" s="16">
        <f>VLOOKUP(Z25,'Место-баллы'!$A$3:$B$52,2,0)</f>
        <v>100</v>
      </c>
      <c r="AB25" s="12"/>
      <c r="AC25" s="11"/>
      <c r="AD25" s="11"/>
      <c r="AE25" s="13">
        <f t="shared" si="11"/>
        <v>0</v>
      </c>
      <c r="AF25" s="11"/>
      <c r="AG25" s="11">
        <f t="shared" si="12"/>
        <v>950</v>
      </c>
      <c r="AH25" s="13">
        <f t="shared" si="13"/>
        <v>1.0995370370370371E-2</v>
      </c>
      <c r="AI25" s="11">
        <f t="shared" si="14"/>
        <v>1</v>
      </c>
      <c r="AJ25" s="16">
        <f>VLOOKUP(AI25,'Место-баллы'!$A$3:$B$52,2,0)</f>
        <v>100</v>
      </c>
      <c r="AK25" s="12"/>
      <c r="AL25" s="11"/>
      <c r="AM25" s="11"/>
      <c r="AN25" s="13">
        <f t="shared" si="15"/>
        <v>0</v>
      </c>
      <c r="AO25" s="11"/>
      <c r="AP25" s="11">
        <f t="shared" si="16"/>
        <v>190</v>
      </c>
      <c r="AQ25" s="13">
        <f t="shared" si="17"/>
        <v>2.1990740740740742E-3</v>
      </c>
      <c r="AR25" s="11">
        <f t="shared" si="18"/>
        <v>1</v>
      </c>
      <c r="AS25" s="16">
        <f>VLOOKUP(AR25,'Место-баллы'!$A$3:$B$52,2,0)</f>
        <v>100</v>
      </c>
      <c r="AT25" s="12"/>
      <c r="AU25" s="11"/>
      <c r="AV25" s="11"/>
      <c r="AW25" s="13">
        <f t="shared" si="19"/>
        <v>0</v>
      </c>
      <c r="AX25" s="11"/>
      <c r="AY25" s="11">
        <f t="shared" si="20"/>
        <v>90</v>
      </c>
      <c r="AZ25" s="13">
        <f t="shared" si="21"/>
        <v>1.0416666666666667E-3</v>
      </c>
      <c r="BA25" s="11">
        <f t="shared" si="22"/>
        <v>1</v>
      </c>
      <c r="BB25" s="16">
        <f>VLOOKUP(BA25,'Место-баллы'!$A$3:$B$52,2,0)</f>
        <v>100</v>
      </c>
    </row>
    <row r="26" spans="2:54" x14ac:dyDescent="0.25">
      <c r="B26" s="16">
        <f t="shared" si="1"/>
        <v>1</v>
      </c>
      <c r="C26" s="16">
        <f t="shared" si="0"/>
        <v>0</v>
      </c>
      <c r="D26" s="14"/>
      <c r="E26" s="9"/>
      <c r="F26" s="14"/>
      <c r="G26" s="16"/>
      <c r="H26" s="16" t="e">
        <f t="shared" si="2"/>
        <v>#N/A</v>
      </c>
      <c r="I26" s="16" t="e">
        <f>VLOOKUP(H26,'Место-баллы'!$A$3:$B$52,2,0)</f>
        <v>#N/A</v>
      </c>
      <c r="J26" s="14"/>
      <c r="K26" s="11"/>
      <c r="L26" s="11"/>
      <c r="M26" s="13">
        <f t="shared" si="3"/>
        <v>0</v>
      </c>
      <c r="N26" s="11"/>
      <c r="O26" s="11">
        <f t="shared" si="4"/>
        <v>120</v>
      </c>
      <c r="P26" s="13">
        <f t="shared" si="5"/>
        <v>1.3888888888888889E-3</v>
      </c>
      <c r="Q26" s="11">
        <f t="shared" si="6"/>
        <v>1</v>
      </c>
      <c r="R26" s="16">
        <f>VLOOKUP(Q26,'Место-баллы'!$A$3:$B$52,2,0)</f>
        <v>100</v>
      </c>
      <c r="S26" s="12"/>
      <c r="T26" s="11"/>
      <c r="U26" s="11"/>
      <c r="V26" s="13">
        <f t="shared" si="7"/>
        <v>0</v>
      </c>
      <c r="W26" s="11"/>
      <c r="X26" s="11">
        <f t="shared" si="8"/>
        <v>48</v>
      </c>
      <c r="Y26" s="13">
        <f t="shared" si="9"/>
        <v>5.5555555555555556E-4</v>
      </c>
      <c r="Z26" s="11">
        <f t="shared" si="10"/>
        <v>1</v>
      </c>
      <c r="AA26" s="16">
        <f>VLOOKUP(Z26,'Место-баллы'!$A$3:$B$52,2,0)</f>
        <v>100</v>
      </c>
      <c r="AB26" s="12"/>
      <c r="AC26" s="11"/>
      <c r="AD26" s="11"/>
      <c r="AE26" s="13">
        <f t="shared" si="11"/>
        <v>0</v>
      </c>
      <c r="AF26" s="11"/>
      <c r="AG26" s="11">
        <f t="shared" si="12"/>
        <v>950</v>
      </c>
      <c r="AH26" s="13">
        <f t="shared" si="13"/>
        <v>1.0995370370370371E-2</v>
      </c>
      <c r="AI26" s="11">
        <f t="shared" si="14"/>
        <v>1</v>
      </c>
      <c r="AJ26" s="16">
        <f>VLOOKUP(AI26,'Место-баллы'!$A$3:$B$52,2,0)</f>
        <v>100</v>
      </c>
      <c r="AK26" s="12"/>
      <c r="AL26" s="11"/>
      <c r="AM26" s="11"/>
      <c r="AN26" s="13">
        <f t="shared" si="15"/>
        <v>0</v>
      </c>
      <c r="AO26" s="11"/>
      <c r="AP26" s="11">
        <f t="shared" si="16"/>
        <v>190</v>
      </c>
      <c r="AQ26" s="13">
        <f t="shared" si="17"/>
        <v>2.1990740740740742E-3</v>
      </c>
      <c r="AR26" s="11">
        <f t="shared" si="18"/>
        <v>1</v>
      </c>
      <c r="AS26" s="16">
        <f>VLOOKUP(AR26,'Место-баллы'!$A$3:$B$52,2,0)</f>
        <v>100</v>
      </c>
      <c r="AT26" s="12"/>
      <c r="AU26" s="11"/>
      <c r="AV26" s="11"/>
      <c r="AW26" s="13">
        <f t="shared" si="19"/>
        <v>0</v>
      </c>
      <c r="AX26" s="11"/>
      <c r="AY26" s="11">
        <f t="shared" si="20"/>
        <v>90</v>
      </c>
      <c r="AZ26" s="13">
        <f t="shared" si="21"/>
        <v>1.0416666666666667E-3</v>
      </c>
      <c r="BA26" s="11">
        <f t="shared" si="22"/>
        <v>1</v>
      </c>
      <c r="BB26" s="16">
        <f>VLOOKUP(BA26,'Место-баллы'!$A$3:$B$52,2,0)</f>
        <v>100</v>
      </c>
    </row>
    <row r="27" spans="2:54" x14ac:dyDescent="0.25">
      <c r="B27" s="16">
        <f t="shared" si="1"/>
        <v>1</v>
      </c>
      <c r="C27" s="16">
        <f t="shared" si="0"/>
        <v>0</v>
      </c>
      <c r="D27" s="14"/>
      <c r="E27" s="9"/>
      <c r="F27" s="14"/>
      <c r="G27" s="16"/>
      <c r="H27" s="16" t="e">
        <f t="shared" si="2"/>
        <v>#N/A</v>
      </c>
      <c r="I27" s="16" t="e">
        <f>VLOOKUP(H27,'Место-баллы'!$A$3:$B$52,2,0)</f>
        <v>#N/A</v>
      </c>
      <c r="J27" s="14"/>
      <c r="K27" s="11"/>
      <c r="L27" s="11"/>
      <c r="M27" s="13">
        <f t="shared" si="3"/>
        <v>0</v>
      </c>
      <c r="N27" s="11"/>
      <c r="O27" s="11">
        <f t="shared" si="4"/>
        <v>120</v>
      </c>
      <c r="P27" s="13">
        <f t="shared" si="5"/>
        <v>1.3888888888888889E-3</v>
      </c>
      <c r="Q27" s="11">
        <f t="shared" si="6"/>
        <v>1</v>
      </c>
      <c r="R27" s="16">
        <f>VLOOKUP(Q27,'Место-баллы'!$A$3:$B$52,2,0)</f>
        <v>100</v>
      </c>
      <c r="S27" s="12"/>
      <c r="T27" s="11"/>
      <c r="U27" s="11"/>
      <c r="V27" s="13">
        <f t="shared" si="7"/>
        <v>0</v>
      </c>
      <c r="W27" s="11"/>
      <c r="X27" s="11">
        <f t="shared" si="8"/>
        <v>48</v>
      </c>
      <c r="Y27" s="13">
        <f t="shared" si="9"/>
        <v>5.5555555555555556E-4</v>
      </c>
      <c r="Z27" s="11">
        <f t="shared" si="10"/>
        <v>1</v>
      </c>
      <c r="AA27" s="16">
        <f>VLOOKUP(Z27,'Место-баллы'!$A$3:$B$52,2,0)</f>
        <v>100</v>
      </c>
      <c r="AB27" s="12"/>
      <c r="AC27" s="11"/>
      <c r="AD27" s="11"/>
      <c r="AE27" s="13">
        <f t="shared" si="11"/>
        <v>0</v>
      </c>
      <c r="AF27" s="11"/>
      <c r="AG27" s="11">
        <f t="shared" si="12"/>
        <v>950</v>
      </c>
      <c r="AH27" s="13">
        <f t="shared" si="13"/>
        <v>1.0995370370370371E-2</v>
      </c>
      <c r="AI27" s="11">
        <f t="shared" si="14"/>
        <v>1</v>
      </c>
      <c r="AJ27" s="16">
        <f>VLOOKUP(AI27,'Место-баллы'!$A$3:$B$52,2,0)</f>
        <v>100</v>
      </c>
      <c r="AK27" s="12"/>
      <c r="AL27" s="11"/>
      <c r="AM27" s="11"/>
      <c r="AN27" s="13">
        <f t="shared" si="15"/>
        <v>0</v>
      </c>
      <c r="AO27" s="11"/>
      <c r="AP27" s="11">
        <f t="shared" si="16"/>
        <v>190</v>
      </c>
      <c r="AQ27" s="13">
        <f t="shared" si="17"/>
        <v>2.1990740740740742E-3</v>
      </c>
      <c r="AR27" s="11">
        <f t="shared" si="18"/>
        <v>1</v>
      </c>
      <c r="AS27" s="16">
        <f>VLOOKUP(AR27,'Место-баллы'!$A$3:$B$52,2,0)</f>
        <v>100</v>
      </c>
      <c r="AT27" s="12"/>
      <c r="AU27" s="11"/>
      <c r="AV27" s="11"/>
      <c r="AW27" s="13">
        <f t="shared" si="19"/>
        <v>0</v>
      </c>
      <c r="AX27" s="11"/>
      <c r="AY27" s="11">
        <f t="shared" si="20"/>
        <v>90</v>
      </c>
      <c r="AZ27" s="13">
        <f t="shared" si="21"/>
        <v>1.0416666666666667E-3</v>
      </c>
      <c r="BA27" s="11">
        <f t="shared" si="22"/>
        <v>1</v>
      </c>
      <c r="BB27" s="16">
        <f>VLOOKUP(BA27,'Место-баллы'!$A$3:$B$52,2,0)</f>
        <v>100</v>
      </c>
    </row>
    <row r="28" spans="2:54" x14ac:dyDescent="0.25">
      <c r="B28" s="16">
        <f t="shared" si="1"/>
        <v>1</v>
      </c>
      <c r="C28" s="16">
        <f t="shared" si="0"/>
        <v>0</v>
      </c>
      <c r="D28" s="14"/>
      <c r="E28" s="9"/>
      <c r="F28" s="14"/>
      <c r="G28" s="16"/>
      <c r="H28" s="16" t="e">
        <f t="shared" si="2"/>
        <v>#N/A</v>
      </c>
      <c r="I28" s="16" t="e">
        <f>VLOOKUP(H28,'Место-баллы'!$A$3:$B$52,2,0)</f>
        <v>#N/A</v>
      </c>
      <c r="J28" s="14"/>
      <c r="K28" s="11"/>
      <c r="L28" s="11"/>
      <c r="M28" s="13">
        <f t="shared" si="3"/>
        <v>0</v>
      </c>
      <c r="N28" s="11"/>
      <c r="O28" s="11">
        <f t="shared" si="4"/>
        <v>120</v>
      </c>
      <c r="P28" s="13">
        <f t="shared" si="5"/>
        <v>1.3888888888888889E-3</v>
      </c>
      <c r="Q28" s="11">
        <f t="shared" si="6"/>
        <v>1</v>
      </c>
      <c r="R28" s="16">
        <f>VLOOKUP(Q28,'Место-баллы'!$A$3:$B$52,2,0)</f>
        <v>100</v>
      </c>
      <c r="S28" s="12"/>
      <c r="T28" s="11"/>
      <c r="U28" s="11"/>
      <c r="V28" s="13">
        <f t="shared" si="7"/>
        <v>0</v>
      </c>
      <c r="W28" s="11"/>
      <c r="X28" s="11">
        <f t="shared" si="8"/>
        <v>48</v>
      </c>
      <c r="Y28" s="13">
        <f t="shared" si="9"/>
        <v>5.5555555555555556E-4</v>
      </c>
      <c r="Z28" s="11">
        <f t="shared" si="10"/>
        <v>1</v>
      </c>
      <c r="AA28" s="16">
        <f>VLOOKUP(Z28,'Место-баллы'!$A$3:$B$52,2,0)</f>
        <v>100</v>
      </c>
      <c r="AB28" s="12"/>
      <c r="AC28" s="11"/>
      <c r="AD28" s="11"/>
      <c r="AE28" s="13">
        <f t="shared" si="11"/>
        <v>0</v>
      </c>
      <c r="AF28" s="11"/>
      <c r="AG28" s="11">
        <f t="shared" si="12"/>
        <v>950</v>
      </c>
      <c r="AH28" s="13">
        <f t="shared" si="13"/>
        <v>1.0995370370370371E-2</v>
      </c>
      <c r="AI28" s="11">
        <f t="shared" si="14"/>
        <v>1</v>
      </c>
      <c r="AJ28" s="16">
        <f>VLOOKUP(AI28,'Место-баллы'!$A$3:$B$52,2,0)</f>
        <v>100</v>
      </c>
      <c r="AK28" s="12"/>
      <c r="AL28" s="11"/>
      <c r="AM28" s="11"/>
      <c r="AN28" s="13">
        <f t="shared" si="15"/>
        <v>0</v>
      </c>
      <c r="AO28" s="11"/>
      <c r="AP28" s="11">
        <f t="shared" si="16"/>
        <v>190</v>
      </c>
      <c r="AQ28" s="13">
        <f t="shared" si="17"/>
        <v>2.1990740740740742E-3</v>
      </c>
      <c r="AR28" s="11">
        <f t="shared" si="18"/>
        <v>1</v>
      </c>
      <c r="AS28" s="16">
        <f>VLOOKUP(AR28,'Место-баллы'!$A$3:$B$52,2,0)</f>
        <v>100</v>
      </c>
      <c r="AT28" s="12"/>
      <c r="AU28" s="11"/>
      <c r="AV28" s="11"/>
      <c r="AW28" s="13">
        <f t="shared" si="19"/>
        <v>0</v>
      </c>
      <c r="AX28" s="11"/>
      <c r="AY28" s="11">
        <f t="shared" si="20"/>
        <v>90</v>
      </c>
      <c r="AZ28" s="13">
        <f t="shared" si="21"/>
        <v>1.0416666666666667E-3</v>
      </c>
      <c r="BA28" s="11">
        <f t="shared" si="22"/>
        <v>1</v>
      </c>
      <c r="BB28" s="16">
        <f>VLOOKUP(BA28,'Место-баллы'!$A$3:$B$52,2,0)</f>
        <v>100</v>
      </c>
    </row>
    <row r="29" spans="2:54" x14ac:dyDescent="0.25">
      <c r="B29" s="16">
        <f t="shared" si="1"/>
        <v>1</v>
      </c>
      <c r="C29" s="16">
        <f t="shared" si="0"/>
        <v>0</v>
      </c>
      <c r="D29" s="14"/>
      <c r="E29" s="9"/>
      <c r="F29" s="14"/>
      <c r="G29" s="16"/>
      <c r="H29" s="16" t="e">
        <f t="shared" si="2"/>
        <v>#N/A</v>
      </c>
      <c r="I29" s="16" t="e">
        <f>VLOOKUP(H29,'Место-баллы'!$A$3:$B$52,2,0)</f>
        <v>#N/A</v>
      </c>
      <c r="J29" s="14"/>
      <c r="K29" s="11"/>
      <c r="L29" s="11"/>
      <c r="M29" s="13">
        <f t="shared" si="3"/>
        <v>0</v>
      </c>
      <c r="N29" s="11"/>
      <c r="O29" s="11">
        <f t="shared" si="4"/>
        <v>120</v>
      </c>
      <c r="P29" s="13">
        <f t="shared" si="5"/>
        <v>1.3888888888888889E-3</v>
      </c>
      <c r="Q29" s="11">
        <f t="shared" si="6"/>
        <v>1</v>
      </c>
      <c r="R29" s="16">
        <f>VLOOKUP(Q29,'Место-баллы'!$A$3:$B$52,2,0)</f>
        <v>100</v>
      </c>
      <c r="S29" s="12"/>
      <c r="T29" s="11"/>
      <c r="U29" s="11"/>
      <c r="V29" s="13">
        <f t="shared" si="7"/>
        <v>0</v>
      </c>
      <c r="W29" s="11"/>
      <c r="X29" s="11">
        <f t="shared" si="8"/>
        <v>48</v>
      </c>
      <c r="Y29" s="13">
        <f t="shared" si="9"/>
        <v>5.5555555555555556E-4</v>
      </c>
      <c r="Z29" s="11">
        <f t="shared" si="10"/>
        <v>1</v>
      </c>
      <c r="AA29" s="16">
        <f>VLOOKUP(Z29,'Место-баллы'!$A$3:$B$52,2,0)</f>
        <v>100</v>
      </c>
      <c r="AB29" s="12"/>
      <c r="AC29" s="11"/>
      <c r="AD29" s="11"/>
      <c r="AE29" s="13">
        <f t="shared" si="11"/>
        <v>0</v>
      </c>
      <c r="AF29" s="11"/>
      <c r="AG29" s="11">
        <f t="shared" si="12"/>
        <v>950</v>
      </c>
      <c r="AH29" s="13">
        <f t="shared" si="13"/>
        <v>1.0995370370370371E-2</v>
      </c>
      <c r="AI29" s="11">
        <f t="shared" si="14"/>
        <v>1</v>
      </c>
      <c r="AJ29" s="16">
        <f>VLOOKUP(AI29,'Место-баллы'!$A$3:$B$52,2,0)</f>
        <v>100</v>
      </c>
      <c r="AK29" s="12"/>
      <c r="AL29" s="11"/>
      <c r="AM29" s="11"/>
      <c r="AN29" s="13">
        <f t="shared" si="15"/>
        <v>0</v>
      </c>
      <c r="AO29" s="11"/>
      <c r="AP29" s="11">
        <f t="shared" si="16"/>
        <v>190</v>
      </c>
      <c r="AQ29" s="13">
        <f t="shared" si="17"/>
        <v>2.1990740740740742E-3</v>
      </c>
      <c r="AR29" s="11">
        <f t="shared" si="18"/>
        <v>1</v>
      </c>
      <c r="AS29" s="16">
        <f>VLOOKUP(AR29,'Место-баллы'!$A$3:$B$52,2,0)</f>
        <v>100</v>
      </c>
      <c r="AT29" s="12"/>
      <c r="AU29" s="11"/>
      <c r="AV29" s="11"/>
      <c r="AW29" s="13">
        <f t="shared" si="19"/>
        <v>0</v>
      </c>
      <c r="AX29" s="11"/>
      <c r="AY29" s="11">
        <f t="shared" si="20"/>
        <v>90</v>
      </c>
      <c r="AZ29" s="13">
        <f t="shared" si="21"/>
        <v>1.0416666666666667E-3</v>
      </c>
      <c r="BA29" s="11">
        <f t="shared" si="22"/>
        <v>1</v>
      </c>
      <c r="BB29" s="16">
        <f>VLOOKUP(BA29,'Место-баллы'!$A$3:$B$52,2,0)</f>
        <v>100</v>
      </c>
    </row>
    <row r="30" spans="2:54" x14ac:dyDescent="0.25">
      <c r="B30" s="16">
        <f t="shared" si="1"/>
        <v>1</v>
      </c>
      <c r="C30" s="16">
        <f t="shared" si="0"/>
        <v>0</v>
      </c>
      <c r="D30" s="14"/>
      <c r="E30" s="9"/>
      <c r="F30" s="14"/>
      <c r="G30" s="16"/>
      <c r="H30" s="16" t="e">
        <f t="shared" si="2"/>
        <v>#N/A</v>
      </c>
      <c r="I30" s="16" t="e">
        <f>VLOOKUP(H30,'Место-баллы'!$A$3:$B$52,2,0)</f>
        <v>#N/A</v>
      </c>
      <c r="J30" s="14"/>
      <c r="K30" s="11"/>
      <c r="L30" s="11"/>
      <c r="M30" s="13">
        <f t="shared" si="3"/>
        <v>0</v>
      </c>
      <c r="N30" s="11"/>
      <c r="O30" s="11">
        <f t="shared" si="4"/>
        <v>120</v>
      </c>
      <c r="P30" s="13">
        <f t="shared" si="5"/>
        <v>1.3888888888888889E-3</v>
      </c>
      <c r="Q30" s="11">
        <f t="shared" si="6"/>
        <v>1</v>
      </c>
      <c r="R30" s="16">
        <f>VLOOKUP(Q30,'Место-баллы'!$A$3:$B$52,2,0)</f>
        <v>100</v>
      </c>
      <c r="S30" s="12"/>
      <c r="T30" s="11"/>
      <c r="U30" s="11"/>
      <c r="V30" s="13">
        <f t="shared" si="7"/>
        <v>0</v>
      </c>
      <c r="W30" s="11"/>
      <c r="X30" s="11">
        <f t="shared" si="8"/>
        <v>48</v>
      </c>
      <c r="Y30" s="13">
        <f t="shared" si="9"/>
        <v>5.5555555555555556E-4</v>
      </c>
      <c r="Z30" s="11">
        <f t="shared" si="10"/>
        <v>1</v>
      </c>
      <c r="AA30" s="16">
        <f>VLOOKUP(Z30,'Место-баллы'!$A$3:$B$52,2,0)</f>
        <v>100</v>
      </c>
      <c r="AB30" s="12"/>
      <c r="AC30" s="11"/>
      <c r="AD30" s="11"/>
      <c r="AE30" s="13">
        <f t="shared" si="11"/>
        <v>0</v>
      </c>
      <c r="AF30" s="11"/>
      <c r="AG30" s="11">
        <f t="shared" si="12"/>
        <v>950</v>
      </c>
      <c r="AH30" s="13">
        <f t="shared" si="13"/>
        <v>1.0995370370370371E-2</v>
      </c>
      <c r="AI30" s="11">
        <f t="shared" si="14"/>
        <v>1</v>
      </c>
      <c r="AJ30" s="16">
        <f>VLOOKUP(AI30,'Место-баллы'!$A$3:$B$52,2,0)</f>
        <v>100</v>
      </c>
      <c r="AK30" s="12"/>
      <c r="AL30" s="11"/>
      <c r="AM30" s="11"/>
      <c r="AN30" s="13">
        <f t="shared" si="15"/>
        <v>0</v>
      </c>
      <c r="AO30" s="11"/>
      <c r="AP30" s="11">
        <f t="shared" si="16"/>
        <v>190</v>
      </c>
      <c r="AQ30" s="13">
        <f t="shared" si="17"/>
        <v>2.1990740740740742E-3</v>
      </c>
      <c r="AR30" s="11">
        <f t="shared" si="18"/>
        <v>1</v>
      </c>
      <c r="AS30" s="16">
        <f>VLOOKUP(AR30,'Место-баллы'!$A$3:$B$52,2,0)</f>
        <v>100</v>
      </c>
      <c r="AT30" s="12"/>
      <c r="AU30" s="11"/>
      <c r="AV30" s="11"/>
      <c r="AW30" s="13">
        <f t="shared" si="19"/>
        <v>0</v>
      </c>
      <c r="AX30" s="11"/>
      <c r="AY30" s="11">
        <f t="shared" si="20"/>
        <v>90</v>
      </c>
      <c r="AZ30" s="13">
        <f t="shared" si="21"/>
        <v>1.0416666666666667E-3</v>
      </c>
      <c r="BA30" s="11">
        <f t="shared" si="22"/>
        <v>1</v>
      </c>
      <c r="BB30" s="16">
        <f>VLOOKUP(BA30,'Место-баллы'!$A$3:$B$52,2,0)</f>
        <v>100</v>
      </c>
    </row>
    <row r="31" spans="2:54" x14ac:dyDescent="0.25">
      <c r="B31" s="16">
        <f t="shared" si="1"/>
        <v>1</v>
      </c>
      <c r="C31" s="16">
        <f t="shared" si="0"/>
        <v>0</v>
      </c>
      <c r="D31" s="14"/>
      <c r="E31" s="9"/>
      <c r="F31" s="14"/>
      <c r="G31" s="16"/>
      <c r="H31" s="16" t="e">
        <f t="shared" si="2"/>
        <v>#N/A</v>
      </c>
      <c r="I31" s="16" t="e">
        <f>VLOOKUP(H31,'Место-баллы'!$A$3:$B$52,2,0)</f>
        <v>#N/A</v>
      </c>
      <c r="J31" s="14"/>
      <c r="K31" s="11"/>
      <c r="L31" s="11"/>
      <c r="M31" s="13">
        <f t="shared" si="3"/>
        <v>0</v>
      </c>
      <c r="N31" s="11"/>
      <c r="O31" s="11">
        <f t="shared" si="4"/>
        <v>120</v>
      </c>
      <c r="P31" s="13">
        <f t="shared" si="5"/>
        <v>1.3888888888888889E-3</v>
      </c>
      <c r="Q31" s="11">
        <f t="shared" si="6"/>
        <v>1</v>
      </c>
      <c r="R31" s="16">
        <f>VLOOKUP(Q31,'Место-баллы'!$A$3:$B$52,2,0)</f>
        <v>100</v>
      </c>
      <c r="S31" s="12"/>
      <c r="T31" s="11"/>
      <c r="U31" s="11"/>
      <c r="V31" s="13">
        <f t="shared" si="7"/>
        <v>0</v>
      </c>
      <c r="W31" s="11"/>
      <c r="X31" s="11">
        <f t="shared" si="8"/>
        <v>48</v>
      </c>
      <c r="Y31" s="13">
        <f t="shared" si="9"/>
        <v>5.5555555555555556E-4</v>
      </c>
      <c r="Z31" s="11">
        <f t="shared" si="10"/>
        <v>1</v>
      </c>
      <c r="AA31" s="16">
        <f>VLOOKUP(Z31,'Место-баллы'!$A$3:$B$52,2,0)</f>
        <v>100</v>
      </c>
      <c r="AB31" s="12"/>
      <c r="AC31" s="11"/>
      <c r="AD31" s="11"/>
      <c r="AE31" s="13">
        <f t="shared" si="11"/>
        <v>0</v>
      </c>
      <c r="AF31" s="11"/>
      <c r="AG31" s="11">
        <f t="shared" si="12"/>
        <v>950</v>
      </c>
      <c r="AH31" s="13">
        <f t="shared" si="13"/>
        <v>1.0995370370370371E-2</v>
      </c>
      <c r="AI31" s="11">
        <f t="shared" si="14"/>
        <v>1</v>
      </c>
      <c r="AJ31" s="16">
        <f>VLOOKUP(AI31,'Место-баллы'!$A$3:$B$52,2,0)</f>
        <v>100</v>
      </c>
      <c r="AK31" s="12"/>
      <c r="AL31" s="11"/>
      <c r="AM31" s="11"/>
      <c r="AN31" s="13">
        <f t="shared" si="15"/>
        <v>0</v>
      </c>
      <c r="AO31" s="11"/>
      <c r="AP31" s="11">
        <f t="shared" si="16"/>
        <v>190</v>
      </c>
      <c r="AQ31" s="13">
        <f t="shared" si="17"/>
        <v>2.1990740740740742E-3</v>
      </c>
      <c r="AR31" s="11">
        <f t="shared" si="18"/>
        <v>1</v>
      </c>
      <c r="AS31" s="16">
        <f>VLOOKUP(AR31,'Место-баллы'!$A$3:$B$52,2,0)</f>
        <v>100</v>
      </c>
      <c r="AT31" s="12"/>
      <c r="AU31" s="11"/>
      <c r="AV31" s="11"/>
      <c r="AW31" s="13">
        <f t="shared" si="19"/>
        <v>0</v>
      </c>
      <c r="AX31" s="11"/>
      <c r="AY31" s="11">
        <f t="shared" si="20"/>
        <v>90</v>
      </c>
      <c r="AZ31" s="13">
        <f t="shared" si="21"/>
        <v>1.0416666666666667E-3</v>
      </c>
      <c r="BA31" s="11">
        <f t="shared" si="22"/>
        <v>1</v>
      </c>
      <c r="BB31" s="16">
        <f>VLOOKUP(BA31,'Место-баллы'!$A$3:$B$52,2,0)</f>
        <v>100</v>
      </c>
    </row>
    <row r="32" spans="2:54" x14ac:dyDescent="0.25">
      <c r="B32" s="16">
        <f t="shared" si="1"/>
        <v>1</v>
      </c>
      <c r="C32" s="16">
        <f t="shared" si="0"/>
        <v>0</v>
      </c>
      <c r="D32" s="14"/>
      <c r="E32" s="9"/>
      <c r="F32" s="14"/>
      <c r="G32" s="16"/>
      <c r="H32" s="16" t="e">
        <f t="shared" si="2"/>
        <v>#N/A</v>
      </c>
      <c r="I32" s="16" t="e">
        <f>VLOOKUP(H32,'Место-баллы'!$A$3:$B$52,2,0)</f>
        <v>#N/A</v>
      </c>
      <c r="J32" s="14"/>
      <c r="K32" s="11"/>
      <c r="L32" s="11"/>
      <c r="M32" s="13">
        <f t="shared" si="3"/>
        <v>0</v>
      </c>
      <c r="N32" s="11"/>
      <c r="O32" s="11">
        <f t="shared" si="4"/>
        <v>120</v>
      </c>
      <c r="P32" s="13">
        <f t="shared" si="5"/>
        <v>1.3888888888888889E-3</v>
      </c>
      <c r="Q32" s="11">
        <f t="shared" si="6"/>
        <v>1</v>
      </c>
      <c r="R32" s="16">
        <f>VLOOKUP(Q32,'Место-баллы'!$A$3:$B$52,2,0)</f>
        <v>100</v>
      </c>
      <c r="S32" s="12"/>
      <c r="T32" s="11"/>
      <c r="U32" s="11"/>
      <c r="V32" s="13">
        <f t="shared" si="7"/>
        <v>0</v>
      </c>
      <c r="W32" s="11"/>
      <c r="X32" s="11">
        <f t="shared" si="8"/>
        <v>48</v>
      </c>
      <c r="Y32" s="13">
        <f t="shared" si="9"/>
        <v>5.5555555555555556E-4</v>
      </c>
      <c r="Z32" s="11">
        <f t="shared" si="10"/>
        <v>1</v>
      </c>
      <c r="AA32" s="16">
        <f>VLOOKUP(Z32,'Место-баллы'!$A$3:$B$52,2,0)</f>
        <v>100</v>
      </c>
      <c r="AB32" s="12"/>
      <c r="AC32" s="11"/>
      <c r="AD32" s="11"/>
      <c r="AE32" s="13">
        <f t="shared" si="11"/>
        <v>0</v>
      </c>
      <c r="AF32" s="11"/>
      <c r="AG32" s="11">
        <f t="shared" si="12"/>
        <v>950</v>
      </c>
      <c r="AH32" s="13">
        <f t="shared" si="13"/>
        <v>1.0995370370370371E-2</v>
      </c>
      <c r="AI32" s="11">
        <f t="shared" si="14"/>
        <v>1</v>
      </c>
      <c r="AJ32" s="16">
        <f>VLOOKUP(AI32,'Место-баллы'!$A$3:$B$52,2,0)</f>
        <v>100</v>
      </c>
      <c r="AK32" s="12"/>
      <c r="AL32" s="11"/>
      <c r="AM32" s="11"/>
      <c r="AN32" s="13">
        <f t="shared" si="15"/>
        <v>0</v>
      </c>
      <c r="AO32" s="11"/>
      <c r="AP32" s="11">
        <f t="shared" si="16"/>
        <v>190</v>
      </c>
      <c r="AQ32" s="13">
        <f t="shared" si="17"/>
        <v>2.1990740740740742E-3</v>
      </c>
      <c r="AR32" s="11">
        <f t="shared" si="18"/>
        <v>1</v>
      </c>
      <c r="AS32" s="16">
        <f>VLOOKUP(AR32,'Место-баллы'!$A$3:$B$52,2,0)</f>
        <v>100</v>
      </c>
      <c r="AT32" s="12"/>
      <c r="AU32" s="11"/>
      <c r="AV32" s="11"/>
      <c r="AW32" s="13">
        <f t="shared" si="19"/>
        <v>0</v>
      </c>
      <c r="AX32" s="11"/>
      <c r="AY32" s="11">
        <f t="shared" si="20"/>
        <v>90</v>
      </c>
      <c r="AZ32" s="13">
        <f t="shared" si="21"/>
        <v>1.0416666666666667E-3</v>
      </c>
      <c r="BA32" s="11">
        <f t="shared" si="22"/>
        <v>1</v>
      </c>
      <c r="BB32" s="16">
        <f>VLOOKUP(BA32,'Место-баллы'!$A$3:$B$52,2,0)</f>
        <v>100</v>
      </c>
    </row>
    <row r="33" ht="18.75" customHeight="1" x14ac:dyDescent="0.25"/>
    <row r="34" ht="18.75" customHeight="1" x14ac:dyDescent="0.25"/>
    <row r="35" ht="18.75" customHeight="1" x14ac:dyDescent="0.25"/>
    <row r="36" ht="18.75" customHeight="1" x14ac:dyDescent="0.25"/>
    <row r="37" ht="18.75" customHeight="1" x14ac:dyDescent="0.25"/>
    <row r="38" ht="18.75" customHeight="1" x14ac:dyDescent="0.25"/>
    <row r="39" ht="18.75" customHeight="1" x14ac:dyDescent="0.25"/>
    <row r="40" ht="18.75" customHeight="1" x14ac:dyDescent="0.25"/>
    <row r="41" ht="18.75" customHeight="1" x14ac:dyDescent="0.25"/>
    <row r="42" ht="18.75" customHeight="1" x14ac:dyDescent="0.25"/>
    <row r="43" ht="18.75" customHeight="1" x14ac:dyDescent="0.25"/>
    <row r="44" ht="18.75" customHeight="1" x14ac:dyDescent="0.25"/>
    <row r="45" ht="18.75" customHeight="1" x14ac:dyDescent="0.25"/>
    <row r="46" ht="18.75" customHeight="1" x14ac:dyDescent="0.25"/>
    <row r="47" ht="18.75" customHeight="1" x14ac:dyDescent="0.25"/>
    <row r="48" ht="18.75" customHeight="1" x14ac:dyDescent="0.25"/>
    <row r="49" ht="18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</sheetData>
  <mergeCells count="8">
    <mergeCell ref="AL5:AS6"/>
    <mergeCell ref="AU5:BB6"/>
    <mergeCell ref="B5:C6"/>
    <mergeCell ref="E5:E6"/>
    <mergeCell ref="G5:I6"/>
    <mergeCell ref="K5:R6"/>
    <mergeCell ref="T5:AA6"/>
    <mergeCell ref="AC5:AJ6"/>
  </mergeCells>
  <printOptions horizontalCentered="1" verticalCentered="1"/>
  <pageMargins left="0" right="0" top="0.59055118110236227" bottom="0" header="0" footer="0"/>
  <pageSetup paperSize="9" scale="95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BB31"/>
  <sheetViews>
    <sheetView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14.42578125" defaultRowHeight="15" customHeight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8.140625" bestFit="1" customWidth="1"/>
    <col min="6" max="6" width="1.42578125" customWidth="1"/>
    <col min="7" max="7" width="5.5703125" customWidth="1"/>
    <col min="8" max="8" width="7.140625" customWidth="1"/>
    <col min="9" max="9" width="6.85546875" customWidth="1"/>
    <col min="10" max="10" width="1.42578125" customWidth="1"/>
    <col min="11" max="11" width="5.140625" hidden="1" customWidth="1" outlineLevel="1"/>
    <col min="12" max="12" width="4.28515625" hidden="1" customWidth="1" outlineLevel="1"/>
    <col min="13" max="13" width="7.140625" customWidth="1" collapsed="1"/>
    <col min="14" max="14" width="6.85546875" customWidth="1"/>
    <col min="15" max="15" width="7.85546875" hidden="1" customWidth="1" outlineLevel="1"/>
    <col min="16" max="16" width="7.140625" hidden="1" customWidth="1" outlineLevel="1"/>
    <col min="17" max="17" width="7.140625" customWidth="1" collapsed="1"/>
    <col min="18" max="18" width="6.85546875" customWidth="1"/>
    <col min="19" max="19" width="1.42578125" customWidth="1"/>
    <col min="20" max="20" width="5.140625" hidden="1" customWidth="1" outlineLevel="1"/>
    <col min="21" max="21" width="4.28515625" hidden="1" customWidth="1" outlineLevel="1"/>
    <col min="22" max="22" width="7.140625" customWidth="1" collapsed="1"/>
    <col min="23" max="23" width="6.85546875" customWidth="1"/>
    <col min="24" max="24" width="7.85546875" hidden="1" customWidth="1" outlineLevel="1"/>
    <col min="25" max="25" width="7.140625" hidden="1" customWidth="1" outlineLevel="1"/>
    <col min="26" max="26" width="7.140625" customWidth="1" collapsed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customWidth="1" collapsed="1"/>
    <col min="36" max="36" width="6.85546875" customWidth="1"/>
    <col min="37" max="37" width="1.42578125" customWidth="1"/>
    <col min="38" max="38" width="5.140625" hidden="1" customWidth="1" outlineLevel="1"/>
    <col min="39" max="39" width="4.28515625" hidden="1" customWidth="1" outlineLevel="1"/>
    <col min="40" max="40" width="7.140625" customWidth="1" collapsed="1"/>
    <col min="41" max="41" width="6.85546875" customWidth="1"/>
    <col min="42" max="42" width="7.85546875" hidden="1" customWidth="1" outlineLevel="1"/>
    <col min="43" max="43" width="7.140625" hidden="1" customWidth="1" outlineLevel="1"/>
    <col min="44" max="44" width="7.140625" customWidth="1" collapsed="1"/>
    <col min="45" max="45" width="6.85546875" customWidth="1"/>
    <col min="46" max="46" width="1.42578125" customWidth="1"/>
    <col min="47" max="47" width="5.140625" hidden="1" customWidth="1" outlineLevel="1"/>
    <col min="48" max="48" width="4.28515625" hidden="1" customWidth="1" outlineLevel="1"/>
    <col min="49" max="49" width="7.140625" customWidth="1" collapsed="1"/>
    <col min="50" max="50" width="6.85546875" customWidth="1"/>
    <col min="51" max="51" width="7.85546875" hidden="1" customWidth="1" outlineLevel="1"/>
    <col min="52" max="52" width="7.140625" hidden="1" customWidth="1" outlineLevel="1"/>
    <col min="53" max="53" width="7.140625" customWidth="1" collapsed="1"/>
    <col min="54" max="54" width="6.85546875" customWidth="1"/>
  </cols>
  <sheetData>
    <row r="1" spans="2:54" x14ac:dyDescent="0.25">
      <c r="B1" s="15"/>
      <c r="C1" s="15"/>
      <c r="D1" s="15"/>
      <c r="E1" s="8"/>
      <c r="F1" s="15"/>
      <c r="G1" s="19"/>
      <c r="H1" s="19"/>
      <c r="I1" s="20">
        <v>1</v>
      </c>
      <c r="J1" s="15"/>
      <c r="K1" s="3"/>
      <c r="L1" s="3"/>
      <c r="M1" s="3"/>
      <c r="N1" s="3"/>
      <c r="O1" s="3"/>
      <c r="P1" s="3"/>
      <c r="Q1" s="3"/>
      <c r="R1" s="10">
        <v>1</v>
      </c>
      <c r="T1" s="3"/>
      <c r="U1" s="3"/>
      <c r="V1" s="3"/>
      <c r="W1" s="3"/>
      <c r="X1" s="3"/>
      <c r="Y1" s="3"/>
      <c r="Z1" s="3"/>
      <c r="AA1" s="10">
        <v>1</v>
      </c>
      <c r="AC1" s="3"/>
      <c r="AD1" s="3"/>
      <c r="AE1" s="3"/>
      <c r="AF1" s="3"/>
      <c r="AG1" s="3"/>
      <c r="AH1" s="3"/>
      <c r="AI1" s="3"/>
      <c r="AJ1" s="10">
        <v>1</v>
      </c>
      <c r="AL1" s="3"/>
      <c r="AM1" s="3"/>
      <c r="AN1" s="3"/>
      <c r="AO1" s="3"/>
      <c r="AP1" s="3"/>
      <c r="AQ1" s="3"/>
      <c r="AR1" s="3"/>
      <c r="AS1" s="10">
        <v>1</v>
      </c>
      <c r="AU1" s="3"/>
      <c r="AV1" s="3"/>
      <c r="AW1" s="3"/>
      <c r="AX1" s="3"/>
      <c r="AY1" s="3"/>
      <c r="AZ1" s="3"/>
      <c r="BA1" s="3"/>
      <c r="BB1" s="10">
        <v>1</v>
      </c>
    </row>
    <row r="2" spans="2:54" x14ac:dyDescent="0.25">
      <c r="B2" s="15"/>
      <c r="C2" s="15"/>
      <c r="D2" s="15"/>
      <c r="E2" s="8"/>
      <c r="F2" s="15"/>
      <c r="G2" s="19"/>
      <c r="H2" s="19"/>
      <c r="I2" s="19"/>
      <c r="J2" s="15"/>
      <c r="K2" s="3"/>
      <c r="L2" s="3"/>
      <c r="M2" s="3"/>
      <c r="N2" s="21">
        <f>5*30</f>
        <v>150</v>
      </c>
      <c r="O2" s="3"/>
      <c r="P2" s="3"/>
      <c r="Q2" s="3"/>
      <c r="R2" s="3"/>
      <c r="T2" s="3"/>
      <c r="U2" s="3"/>
      <c r="V2" s="3"/>
      <c r="W2" s="21">
        <f>3*(3+10+3)</f>
        <v>48</v>
      </c>
      <c r="X2" s="3"/>
      <c r="Y2" s="3"/>
      <c r="Z2" s="3"/>
      <c r="AA2" s="3"/>
      <c r="AC2" s="3"/>
      <c r="AD2" s="3"/>
      <c r="AE2" s="3"/>
      <c r="AF2" s="21">
        <v>1150</v>
      </c>
      <c r="AG2" s="3"/>
      <c r="AH2" s="3"/>
      <c r="AI2" s="3"/>
      <c r="AJ2" s="3"/>
      <c r="AL2" s="3"/>
      <c r="AM2" s="3"/>
      <c r="AN2" s="3"/>
      <c r="AO2" s="21">
        <v>210</v>
      </c>
      <c r="AP2" s="3"/>
      <c r="AQ2" s="3"/>
      <c r="AR2" s="3"/>
      <c r="AS2" s="3"/>
      <c r="AU2" s="3"/>
      <c r="AV2" s="3"/>
      <c r="AW2" s="3"/>
      <c r="AX2" s="21">
        <f>20+20+15+15+10+10</f>
        <v>90</v>
      </c>
      <c r="AY2" s="3"/>
      <c r="AZ2" s="3"/>
      <c r="BA2" s="3"/>
      <c r="BB2" s="3"/>
    </row>
    <row r="3" spans="2:54" x14ac:dyDescent="0.25">
      <c r="B3" s="15"/>
      <c r="C3" s="15"/>
      <c r="D3" s="15"/>
      <c r="E3" s="8"/>
      <c r="F3" s="15"/>
      <c r="G3" s="19"/>
      <c r="H3" s="19"/>
      <c r="I3" s="19"/>
      <c r="J3" s="15"/>
      <c r="K3" s="3"/>
      <c r="L3" s="3"/>
      <c r="M3" s="3"/>
      <c r="N3" s="4" t="s">
        <v>30</v>
      </c>
      <c r="O3" s="3"/>
      <c r="P3" s="3"/>
      <c r="Q3" s="3"/>
      <c r="R3" s="3"/>
      <c r="T3" s="3"/>
      <c r="U3" s="3"/>
      <c r="V3" s="3"/>
      <c r="W3" s="4" t="s">
        <v>21</v>
      </c>
      <c r="X3" s="3"/>
      <c r="Y3" s="3"/>
      <c r="Z3" s="3"/>
      <c r="AA3" s="3"/>
      <c r="AC3" s="3"/>
      <c r="AD3" s="3"/>
      <c r="AE3" s="3"/>
      <c r="AF3" s="4" t="s">
        <v>23</v>
      </c>
      <c r="AG3" s="3"/>
      <c r="AH3" s="3"/>
      <c r="AI3" s="3"/>
      <c r="AJ3" s="3"/>
      <c r="AL3" s="3"/>
      <c r="AM3" s="3"/>
      <c r="AN3" s="3"/>
      <c r="AO3" s="4" t="s">
        <v>23</v>
      </c>
      <c r="AP3" s="3"/>
      <c r="AQ3" s="3"/>
      <c r="AR3" s="3"/>
      <c r="AS3" s="3"/>
      <c r="AU3" s="3"/>
      <c r="AV3" s="3"/>
      <c r="AW3" s="3"/>
      <c r="AX3" s="4" t="s">
        <v>18</v>
      </c>
      <c r="AY3" s="3"/>
      <c r="AZ3" s="3"/>
      <c r="BA3" s="3"/>
      <c r="BB3" s="3"/>
    </row>
    <row r="4" spans="2:54" x14ac:dyDescent="0.25">
      <c r="B4" s="15"/>
      <c r="C4" s="15"/>
      <c r="D4" s="15"/>
      <c r="F4" s="15"/>
      <c r="G4" s="19"/>
      <c r="H4" s="19"/>
      <c r="I4" s="19"/>
      <c r="J4" s="15"/>
      <c r="K4" s="3"/>
      <c r="L4" s="3"/>
      <c r="M4" s="3"/>
      <c r="N4" s="3"/>
      <c r="O4" s="3"/>
      <c r="P4" s="3"/>
      <c r="Q4" s="3"/>
      <c r="R4" s="3"/>
      <c r="T4" s="3"/>
      <c r="U4" s="3"/>
      <c r="V4" s="3"/>
      <c r="W4" s="3"/>
      <c r="X4" s="3"/>
      <c r="Y4" s="3"/>
      <c r="Z4" s="3"/>
      <c r="AA4" s="3"/>
      <c r="AC4" s="3"/>
      <c r="AD4" s="3"/>
      <c r="AE4" s="3"/>
      <c r="AF4" s="3"/>
      <c r="AG4" s="3"/>
      <c r="AH4" s="3"/>
      <c r="AI4" s="3"/>
      <c r="AJ4" s="3"/>
      <c r="AL4" s="3"/>
      <c r="AM4" s="3"/>
      <c r="AN4" s="3"/>
      <c r="AO4" s="3"/>
      <c r="AP4" s="3"/>
      <c r="AQ4" s="3"/>
      <c r="AR4" s="3"/>
      <c r="AS4" s="3"/>
      <c r="AU4" s="3"/>
      <c r="AV4" s="3"/>
      <c r="AW4" s="3"/>
      <c r="AX4" s="3"/>
      <c r="AY4" s="3"/>
      <c r="AZ4" s="3"/>
      <c r="BA4" s="3"/>
      <c r="BB4" s="3"/>
    </row>
    <row r="5" spans="2:54" ht="15" customHeight="1" x14ac:dyDescent="0.25">
      <c r="B5" s="31" t="s">
        <v>4</v>
      </c>
      <c r="C5" s="32"/>
      <c r="D5" s="16"/>
      <c r="E5" s="35" t="s">
        <v>33</v>
      </c>
      <c r="F5" s="16"/>
      <c r="G5" s="31" t="s">
        <v>19</v>
      </c>
      <c r="H5" s="43"/>
      <c r="I5" s="32"/>
      <c r="J5" s="16"/>
      <c r="K5" s="35" t="s">
        <v>20</v>
      </c>
      <c r="L5" s="36"/>
      <c r="M5" s="36"/>
      <c r="N5" s="36"/>
      <c r="O5" s="36"/>
      <c r="P5" s="36"/>
      <c r="Q5" s="36"/>
      <c r="R5" s="36"/>
      <c r="S5" s="11"/>
      <c r="T5" s="35" t="s">
        <v>5</v>
      </c>
      <c r="U5" s="36"/>
      <c r="V5" s="36"/>
      <c r="W5" s="36"/>
      <c r="X5" s="36"/>
      <c r="Y5" s="36"/>
      <c r="Z5" s="36"/>
      <c r="AA5" s="36"/>
      <c r="AB5" s="11"/>
      <c r="AC5" s="35" t="s">
        <v>22</v>
      </c>
      <c r="AD5" s="36"/>
      <c r="AE5" s="36"/>
      <c r="AF5" s="36"/>
      <c r="AG5" s="36"/>
      <c r="AH5" s="36"/>
      <c r="AI5" s="36"/>
      <c r="AJ5" s="36"/>
      <c r="AK5" s="11"/>
      <c r="AL5" s="35" t="s">
        <v>24</v>
      </c>
      <c r="AM5" s="36"/>
      <c r="AN5" s="36"/>
      <c r="AO5" s="36"/>
      <c r="AP5" s="36"/>
      <c r="AQ5" s="36"/>
      <c r="AR5" s="36"/>
      <c r="AS5" s="36"/>
      <c r="AT5" s="11"/>
      <c r="AU5" s="35" t="s">
        <v>6</v>
      </c>
      <c r="AV5" s="36"/>
      <c r="AW5" s="36"/>
      <c r="AX5" s="36"/>
      <c r="AY5" s="36"/>
      <c r="AZ5" s="36"/>
      <c r="BA5" s="36"/>
      <c r="BB5" s="36"/>
    </row>
    <row r="6" spans="2:54" x14ac:dyDescent="0.25">
      <c r="B6" s="33"/>
      <c r="C6" s="34"/>
      <c r="D6" s="17"/>
      <c r="E6" s="36"/>
      <c r="F6" s="17"/>
      <c r="G6" s="33"/>
      <c r="H6" s="44"/>
      <c r="I6" s="34"/>
      <c r="J6" s="17"/>
      <c r="K6" s="36"/>
      <c r="L6" s="36"/>
      <c r="M6" s="36"/>
      <c r="N6" s="36"/>
      <c r="O6" s="36"/>
      <c r="P6" s="36"/>
      <c r="Q6" s="36"/>
      <c r="R6" s="36"/>
      <c r="S6" s="5"/>
      <c r="T6" s="36"/>
      <c r="U6" s="36"/>
      <c r="V6" s="36"/>
      <c r="W6" s="36"/>
      <c r="X6" s="36"/>
      <c r="Y6" s="36"/>
      <c r="Z6" s="36"/>
      <c r="AA6" s="36"/>
      <c r="AB6" s="5"/>
      <c r="AC6" s="36"/>
      <c r="AD6" s="36"/>
      <c r="AE6" s="36"/>
      <c r="AF6" s="36"/>
      <c r="AG6" s="36"/>
      <c r="AH6" s="36"/>
      <c r="AI6" s="36"/>
      <c r="AJ6" s="36"/>
      <c r="AK6" s="5"/>
      <c r="AL6" s="36"/>
      <c r="AM6" s="36"/>
      <c r="AN6" s="36"/>
      <c r="AO6" s="36"/>
      <c r="AP6" s="36"/>
      <c r="AQ6" s="36"/>
      <c r="AR6" s="36"/>
      <c r="AS6" s="36"/>
      <c r="AT6" s="5"/>
      <c r="AU6" s="36"/>
      <c r="AV6" s="36"/>
      <c r="AW6" s="36"/>
      <c r="AX6" s="36"/>
      <c r="AY6" s="36"/>
      <c r="AZ6" s="36"/>
      <c r="BA6" s="36"/>
      <c r="BB6" s="36"/>
    </row>
    <row r="7" spans="2:54" ht="25.5" x14ac:dyDescent="0.25">
      <c r="B7" s="25" t="s">
        <v>7</v>
      </c>
      <c r="C7" s="25" t="s">
        <v>8</v>
      </c>
      <c r="D7" s="18"/>
      <c r="E7" s="26" t="s">
        <v>9</v>
      </c>
      <c r="F7" s="18"/>
      <c r="G7" s="28" t="s">
        <v>17</v>
      </c>
      <c r="H7" s="28" t="s">
        <v>13</v>
      </c>
      <c r="I7" s="28" t="s">
        <v>14</v>
      </c>
      <c r="J7" s="18"/>
      <c r="K7" s="7" t="s">
        <v>10</v>
      </c>
      <c r="L7" s="7" t="s">
        <v>11</v>
      </c>
      <c r="M7" s="7" t="s">
        <v>12</v>
      </c>
      <c r="N7" s="27" t="s">
        <v>15</v>
      </c>
      <c r="O7" s="7" t="s">
        <v>16</v>
      </c>
      <c r="P7" s="7" t="s">
        <v>12</v>
      </c>
      <c r="Q7" s="7" t="s">
        <v>13</v>
      </c>
      <c r="R7" s="7" t="s">
        <v>14</v>
      </c>
      <c r="S7" s="6"/>
      <c r="T7" s="7" t="s">
        <v>10</v>
      </c>
      <c r="U7" s="7" t="s">
        <v>11</v>
      </c>
      <c r="V7" s="7" t="s">
        <v>12</v>
      </c>
      <c r="W7" s="27" t="s">
        <v>15</v>
      </c>
      <c r="X7" s="7" t="s">
        <v>16</v>
      </c>
      <c r="Y7" s="7" t="s">
        <v>12</v>
      </c>
      <c r="Z7" s="7" t="s">
        <v>13</v>
      </c>
      <c r="AA7" s="7" t="s">
        <v>14</v>
      </c>
      <c r="AB7" s="6"/>
      <c r="AC7" s="7" t="s">
        <v>10</v>
      </c>
      <c r="AD7" s="7" t="s">
        <v>11</v>
      </c>
      <c r="AE7" s="7" t="s">
        <v>12</v>
      </c>
      <c r="AF7" s="27" t="s">
        <v>15</v>
      </c>
      <c r="AG7" s="7" t="s">
        <v>16</v>
      </c>
      <c r="AH7" s="7" t="s">
        <v>12</v>
      </c>
      <c r="AI7" s="7" t="s">
        <v>13</v>
      </c>
      <c r="AJ7" s="7" t="s">
        <v>14</v>
      </c>
      <c r="AK7" s="6"/>
      <c r="AL7" s="7" t="s">
        <v>10</v>
      </c>
      <c r="AM7" s="7" t="s">
        <v>11</v>
      </c>
      <c r="AN7" s="7" t="s">
        <v>12</v>
      </c>
      <c r="AO7" s="27" t="s">
        <v>15</v>
      </c>
      <c r="AP7" s="7" t="s">
        <v>16</v>
      </c>
      <c r="AQ7" s="7" t="s">
        <v>12</v>
      </c>
      <c r="AR7" s="7" t="s">
        <v>13</v>
      </c>
      <c r="AS7" s="7" t="s">
        <v>14</v>
      </c>
      <c r="AT7" s="6"/>
      <c r="AU7" s="7" t="s">
        <v>10</v>
      </c>
      <c r="AV7" s="7" t="s">
        <v>11</v>
      </c>
      <c r="AW7" s="7" t="s">
        <v>12</v>
      </c>
      <c r="AX7" s="27" t="s">
        <v>15</v>
      </c>
      <c r="AY7" s="7" t="s">
        <v>16</v>
      </c>
      <c r="AZ7" s="7" t="s">
        <v>12</v>
      </c>
      <c r="BA7" s="7" t="s">
        <v>13</v>
      </c>
      <c r="BB7" s="7" t="s">
        <v>14</v>
      </c>
    </row>
    <row r="8" spans="2:54" x14ac:dyDescent="0.25">
      <c r="B8" s="16">
        <f>RANK(C8,C$8:C$12,0)</f>
        <v>1</v>
      </c>
      <c r="C8" s="16">
        <f>SUMIF($G$1:$BB$1,1,$G8:$BB8)</f>
        <v>580</v>
      </c>
      <c r="D8" s="14"/>
      <c r="E8" s="9" t="s">
        <v>52</v>
      </c>
      <c r="F8" s="14"/>
      <c r="G8" s="16">
        <f>90*15</f>
        <v>1350</v>
      </c>
      <c r="H8" s="16">
        <f>RANK(G8,G$8:G$12,0)</f>
        <v>1</v>
      </c>
      <c r="I8" s="16">
        <f>VLOOKUP(H8,'Место-баллы'!$A$3:$B$52,2,0)</f>
        <v>100</v>
      </c>
      <c r="J8" s="14"/>
      <c r="K8" s="11">
        <v>12</v>
      </c>
      <c r="L8" s="11">
        <v>27</v>
      </c>
      <c r="M8" s="13">
        <f>TIME(0,K8,L8)</f>
        <v>8.6458333333333335E-3</v>
      </c>
      <c r="N8" s="11">
        <v>150</v>
      </c>
      <c r="O8" s="11">
        <f>N$2-N8</f>
        <v>0</v>
      </c>
      <c r="P8" s="13">
        <f>M8+TIME(0,0,O8)</f>
        <v>8.6458333333333335E-3</v>
      </c>
      <c r="Q8" s="11">
        <f>RANK(P8,P$8:P$12,1)</f>
        <v>1</v>
      </c>
      <c r="R8" s="16">
        <f>VLOOKUP(Q8,'Место-баллы'!$A$3:$B$52,2,0)</f>
        <v>100</v>
      </c>
      <c r="S8" s="12"/>
      <c r="T8" s="11">
        <v>9</v>
      </c>
      <c r="U8" s="11">
        <v>0</v>
      </c>
      <c r="V8" s="13">
        <f>TIME(0,T8,U8)</f>
        <v>6.2499999999999995E-3</v>
      </c>
      <c r="W8" s="11">
        <v>48</v>
      </c>
      <c r="X8" s="11">
        <f>W$2-W8</f>
        <v>0</v>
      </c>
      <c r="Y8" s="13">
        <f>V8+TIME(0,0,X8)</f>
        <v>6.2499999999999995E-3</v>
      </c>
      <c r="Z8" s="11">
        <f>RANK(Y8,Y$8:Y$12,1)</f>
        <v>1</v>
      </c>
      <c r="AA8" s="16">
        <f>VLOOKUP(Z8,'Место-баллы'!$A$3:$B$52,2,0)</f>
        <v>100</v>
      </c>
      <c r="AB8" s="12"/>
      <c r="AC8" s="11">
        <v>5</v>
      </c>
      <c r="AD8" s="11">
        <v>26</v>
      </c>
      <c r="AE8" s="13">
        <f>TIME(0,AC8,AD8)</f>
        <v>3.7731481481481483E-3</v>
      </c>
      <c r="AF8" s="11">
        <v>1150</v>
      </c>
      <c r="AG8" s="11">
        <f>AF$2-AF8</f>
        <v>0</v>
      </c>
      <c r="AH8" s="13">
        <f>AE8+TIME(0,0,AG8)</f>
        <v>3.7731481481481483E-3</v>
      </c>
      <c r="AI8" s="11">
        <f>RANK(AH8,AH$8:AH$12,1)</f>
        <v>3</v>
      </c>
      <c r="AJ8" s="16">
        <f>VLOOKUP(AI8,'Место-баллы'!$A$3:$B$52,2,0)</f>
        <v>90</v>
      </c>
      <c r="AK8" s="12"/>
      <c r="AL8" s="11">
        <v>11</v>
      </c>
      <c r="AM8" s="11">
        <v>11</v>
      </c>
      <c r="AN8" s="13">
        <f>TIME(0,AL8,AM8)</f>
        <v>7.7662037037037031E-3</v>
      </c>
      <c r="AO8" s="11">
        <v>210</v>
      </c>
      <c r="AP8" s="11">
        <f>AO$2-AO8</f>
        <v>0</v>
      </c>
      <c r="AQ8" s="13">
        <f>AN8+TIME(0,0,AP8)</f>
        <v>7.7662037037037031E-3</v>
      </c>
      <c r="AR8" s="11">
        <f>RANK(AQ8,AQ$8:AQ$12,1)</f>
        <v>3</v>
      </c>
      <c r="AS8" s="16">
        <f>VLOOKUP(AR8,'Место-баллы'!$A$3:$B$52,2,0)</f>
        <v>90</v>
      </c>
      <c r="AT8" s="12"/>
      <c r="AU8" s="11">
        <v>3</v>
      </c>
      <c r="AV8" s="11">
        <v>37</v>
      </c>
      <c r="AW8" s="13">
        <f>TIME(0,AU8,AV8)</f>
        <v>2.5115740740740741E-3</v>
      </c>
      <c r="AX8" s="11">
        <v>90</v>
      </c>
      <c r="AY8" s="11">
        <f>AX$2-AX8</f>
        <v>0</v>
      </c>
      <c r="AZ8" s="13">
        <f>AW8+TIME(0,0,AY8)</f>
        <v>2.5115740740740741E-3</v>
      </c>
      <c r="BA8" s="11">
        <f>RANK(AZ8,AZ$8:AZ$12,1)</f>
        <v>1</v>
      </c>
      <c r="BB8" s="16">
        <f>VLOOKUP(BA8,'Место-баллы'!$A$3:$B$52,2,0)</f>
        <v>100</v>
      </c>
    </row>
    <row r="9" spans="2:54" x14ac:dyDescent="0.25">
      <c r="B9" s="16">
        <v>2</v>
      </c>
      <c r="C9" s="16">
        <f>SUMIF($G$1:$BB$1,1,$G9:$BB9)</f>
        <v>580</v>
      </c>
      <c r="D9" s="14"/>
      <c r="E9" s="22" t="s">
        <v>49</v>
      </c>
      <c r="F9" s="14"/>
      <c r="G9" s="16">
        <f>80*12+85*3</f>
        <v>1215</v>
      </c>
      <c r="H9" s="16">
        <f>RANK(G9,G$8:G$12,0)</f>
        <v>2</v>
      </c>
      <c r="I9" s="16">
        <f>VLOOKUP(H9,'Место-баллы'!$A$3:$B$52,2,0)</f>
        <v>95</v>
      </c>
      <c r="J9" s="14"/>
      <c r="K9" s="11">
        <v>13</v>
      </c>
      <c r="L9" s="11">
        <v>30</v>
      </c>
      <c r="M9" s="13">
        <f>TIME(0,K9,L9)</f>
        <v>9.3749999999999997E-3</v>
      </c>
      <c r="N9" s="11">
        <v>150</v>
      </c>
      <c r="O9" s="11">
        <f>N$2-N9</f>
        <v>0</v>
      </c>
      <c r="P9" s="13">
        <f>M9+TIME(0,0,O9)</f>
        <v>9.3749999999999997E-3</v>
      </c>
      <c r="Q9" s="11">
        <f>RANK(P9,P$8:P$12,1)</f>
        <v>2</v>
      </c>
      <c r="R9" s="16">
        <f>VLOOKUP(Q9,'Место-баллы'!$A$3:$B$52,2,0)</f>
        <v>95</v>
      </c>
      <c r="S9" s="12"/>
      <c r="T9" s="11">
        <v>9</v>
      </c>
      <c r="U9" s="11">
        <v>5</v>
      </c>
      <c r="V9" s="13">
        <f>TIME(0,T9,U9)</f>
        <v>6.3078703703703708E-3</v>
      </c>
      <c r="W9" s="11">
        <v>40</v>
      </c>
      <c r="X9" s="11">
        <f>W$2-W9</f>
        <v>8</v>
      </c>
      <c r="Y9" s="13">
        <f>V9+TIME(0,0,X9)</f>
        <v>6.4004629629629637E-3</v>
      </c>
      <c r="Z9" s="11">
        <f>RANK(Y9,Y$8:Y$12,1)</f>
        <v>2</v>
      </c>
      <c r="AA9" s="16">
        <f>VLOOKUP(Z9,'Место-баллы'!$A$3:$B$52,2,0)</f>
        <v>95</v>
      </c>
      <c r="AB9" s="12"/>
      <c r="AC9" s="11">
        <v>5</v>
      </c>
      <c r="AD9" s="11">
        <v>13</v>
      </c>
      <c r="AE9" s="13">
        <f>TIME(0,AC9,AD9)</f>
        <v>3.6226851851851854E-3</v>
      </c>
      <c r="AF9" s="11">
        <v>1150</v>
      </c>
      <c r="AG9" s="11">
        <f>AF$2-AF9</f>
        <v>0</v>
      </c>
      <c r="AH9" s="13">
        <f>AE9+TIME(0,0,AG9)</f>
        <v>3.6226851851851854E-3</v>
      </c>
      <c r="AI9" s="11">
        <f>RANK(AH9,AH$8:AH$12,1)</f>
        <v>1</v>
      </c>
      <c r="AJ9" s="16">
        <f>VLOOKUP(AI9,'Место-баллы'!$A$3:$B$52,2,0)</f>
        <v>100</v>
      </c>
      <c r="AK9" s="12"/>
      <c r="AL9" s="11">
        <v>10</v>
      </c>
      <c r="AM9" s="11">
        <v>9</v>
      </c>
      <c r="AN9" s="13">
        <f>TIME(0,AL9,AM9)</f>
        <v>7.0486111111111105E-3</v>
      </c>
      <c r="AO9" s="11">
        <v>210</v>
      </c>
      <c r="AP9" s="11">
        <f>AO$2-AO9</f>
        <v>0</v>
      </c>
      <c r="AQ9" s="13">
        <f>AN9+TIME(0,0,AP9)</f>
        <v>7.0486111111111105E-3</v>
      </c>
      <c r="AR9" s="11">
        <f>RANK(AQ9,AQ$8:AQ$12,1)</f>
        <v>1</v>
      </c>
      <c r="AS9" s="16">
        <f>VLOOKUP(AR9,'Место-баллы'!$A$3:$B$52,2,0)</f>
        <v>100</v>
      </c>
      <c r="AT9" s="12"/>
      <c r="AU9" s="11">
        <v>5</v>
      </c>
      <c r="AV9" s="11">
        <v>18</v>
      </c>
      <c r="AW9" s="13">
        <f>TIME(0,AU9,AV9)</f>
        <v>3.6805555555555554E-3</v>
      </c>
      <c r="AX9" s="11">
        <v>90</v>
      </c>
      <c r="AY9" s="11">
        <f>AX$2-AX9</f>
        <v>0</v>
      </c>
      <c r="AZ9" s="13">
        <f>AW9+TIME(0,0,AY9)</f>
        <v>3.6805555555555554E-3</v>
      </c>
      <c r="BA9" s="11">
        <f>RANK(AZ9,AZ$8:AZ$12,1)</f>
        <v>2</v>
      </c>
      <c r="BB9" s="16">
        <f>VLOOKUP(BA9,'Место-баллы'!$A$3:$B$52,2,0)</f>
        <v>95</v>
      </c>
    </row>
    <row r="10" spans="2:54" x14ac:dyDescent="0.25">
      <c r="B10" s="16">
        <f>RANK(C10,C$8:C$12,0)</f>
        <v>3</v>
      </c>
      <c r="C10" s="16">
        <f>SUMIF($G$1:$BB$1,1,$G10:$BB10)</f>
        <v>545</v>
      </c>
      <c r="D10" s="14"/>
      <c r="E10" s="9" t="s">
        <v>51</v>
      </c>
      <c r="F10" s="14"/>
      <c r="G10" s="16">
        <f>70*3+75*12</f>
        <v>1110</v>
      </c>
      <c r="H10" s="16">
        <f>RANK(G10,G$8:G$12,0)</f>
        <v>4</v>
      </c>
      <c r="I10" s="16">
        <f>VLOOKUP(H10,'Место-баллы'!$A$3:$B$52,2,0)</f>
        <v>85</v>
      </c>
      <c r="J10" s="14"/>
      <c r="K10" s="11">
        <v>14</v>
      </c>
      <c r="L10" s="11">
        <v>16</v>
      </c>
      <c r="M10" s="13">
        <f>TIME(0,K10,L10)</f>
        <v>9.9074074074074082E-3</v>
      </c>
      <c r="N10" s="11">
        <v>150</v>
      </c>
      <c r="O10" s="11">
        <f>N$2-N10</f>
        <v>0</v>
      </c>
      <c r="P10" s="13">
        <f>M10+TIME(0,0,O10)</f>
        <v>9.9074074074074082E-3</v>
      </c>
      <c r="Q10" s="11">
        <f>RANK(P10,P$8:P$12,1)</f>
        <v>3</v>
      </c>
      <c r="R10" s="16">
        <f>VLOOKUP(Q10,'Место-баллы'!$A$3:$B$52,2,0)</f>
        <v>90</v>
      </c>
      <c r="S10" s="12"/>
      <c r="T10" s="11">
        <v>9</v>
      </c>
      <c r="U10" s="11">
        <v>5</v>
      </c>
      <c r="V10" s="13">
        <f>TIME(0,T10,U10)</f>
        <v>6.3078703703703708E-3</v>
      </c>
      <c r="W10" s="11">
        <v>30</v>
      </c>
      <c r="X10" s="11">
        <f>W$2-W10</f>
        <v>18</v>
      </c>
      <c r="Y10" s="13">
        <f>V10+TIME(0,0,X10)</f>
        <v>6.5162037037037037E-3</v>
      </c>
      <c r="Z10" s="11">
        <f>RANK(Y10,Y$8:Y$12,1)</f>
        <v>3</v>
      </c>
      <c r="AA10" s="16">
        <f>VLOOKUP(Z10,'Место-баллы'!$A$3:$B$52,2,0)</f>
        <v>90</v>
      </c>
      <c r="AB10" s="12"/>
      <c r="AC10" s="11">
        <v>5</v>
      </c>
      <c r="AD10" s="11">
        <v>14</v>
      </c>
      <c r="AE10" s="13">
        <f>TIME(0,AC10,AD10)</f>
        <v>3.6342592592592594E-3</v>
      </c>
      <c r="AF10" s="11">
        <v>1150</v>
      </c>
      <c r="AG10" s="11">
        <f>AF$2-AF10</f>
        <v>0</v>
      </c>
      <c r="AH10" s="13">
        <f>AE10+TIME(0,0,AG10)</f>
        <v>3.6342592592592594E-3</v>
      </c>
      <c r="AI10" s="11">
        <f>RANK(AH10,AH$8:AH$12,1)</f>
        <v>2</v>
      </c>
      <c r="AJ10" s="16">
        <f>VLOOKUP(AI10,'Место-баллы'!$A$3:$B$52,2,0)</f>
        <v>95</v>
      </c>
      <c r="AK10" s="12"/>
      <c r="AL10" s="11">
        <v>11</v>
      </c>
      <c r="AM10" s="11">
        <v>0</v>
      </c>
      <c r="AN10" s="13">
        <f>TIME(0,AL10,AM10)</f>
        <v>7.6388888888888886E-3</v>
      </c>
      <c r="AO10" s="11">
        <v>210</v>
      </c>
      <c r="AP10" s="11">
        <f>AO$2-AO10</f>
        <v>0</v>
      </c>
      <c r="AQ10" s="13">
        <f>AN10+TIME(0,0,AP10)</f>
        <v>7.6388888888888886E-3</v>
      </c>
      <c r="AR10" s="11">
        <f>RANK(AQ10,AQ$8:AQ$12,1)</f>
        <v>2</v>
      </c>
      <c r="AS10" s="16">
        <f>VLOOKUP(AR10,'Место-баллы'!$A$3:$B$52,2,0)</f>
        <v>95</v>
      </c>
      <c r="AT10" s="12"/>
      <c r="AU10" s="11">
        <v>6</v>
      </c>
      <c r="AV10" s="11">
        <v>5</v>
      </c>
      <c r="AW10" s="13">
        <f>TIME(0,AU10,AV10)</f>
        <v>4.2245370370370371E-3</v>
      </c>
      <c r="AX10" s="11">
        <v>89</v>
      </c>
      <c r="AY10" s="11">
        <f>AX$2-AX10</f>
        <v>1</v>
      </c>
      <c r="AZ10" s="13">
        <f>AW10+TIME(0,0,AY10)</f>
        <v>4.2361111111111115E-3</v>
      </c>
      <c r="BA10" s="11">
        <f>RANK(AZ10,AZ$8:AZ$12,1)</f>
        <v>3</v>
      </c>
      <c r="BB10" s="16">
        <f>VLOOKUP(BA10,'Место-баллы'!$A$3:$B$52,2,0)</f>
        <v>90</v>
      </c>
    </row>
    <row r="11" spans="2:54" x14ac:dyDescent="0.25">
      <c r="B11" s="16">
        <f>RANK(C11,C$8:C$12,0)</f>
        <v>4</v>
      </c>
      <c r="C11" s="16">
        <f>SUMIF($G$1:$BB$1,1,$G11:$BB11)</f>
        <v>510</v>
      </c>
      <c r="D11" s="14"/>
      <c r="E11" s="9" t="s">
        <v>50</v>
      </c>
      <c r="F11" s="14"/>
      <c r="G11" s="16">
        <f>80*15</f>
        <v>1200</v>
      </c>
      <c r="H11" s="16">
        <f>RANK(G11,G$8:G$12,0)</f>
        <v>3</v>
      </c>
      <c r="I11" s="16">
        <f>VLOOKUP(H11,'Место-баллы'!$A$3:$B$52,2,0)</f>
        <v>90</v>
      </c>
      <c r="J11" s="14"/>
      <c r="K11" s="11">
        <v>14</v>
      </c>
      <c r="L11" s="11">
        <v>26</v>
      </c>
      <c r="M11" s="13">
        <f>TIME(0,K11,L11)</f>
        <v>1.0023148148148147E-2</v>
      </c>
      <c r="N11" s="11">
        <v>150</v>
      </c>
      <c r="O11" s="11">
        <f>N$2-N11</f>
        <v>0</v>
      </c>
      <c r="P11" s="13">
        <f>M11+TIME(0,0,O11)</f>
        <v>1.0023148148148147E-2</v>
      </c>
      <c r="Q11" s="11">
        <f>RANK(P11,P$8:P$12,1)</f>
        <v>4</v>
      </c>
      <c r="R11" s="16">
        <f>VLOOKUP(Q11,'Место-баллы'!$A$3:$B$52,2,0)</f>
        <v>85</v>
      </c>
      <c r="S11" s="12"/>
      <c r="T11" s="11">
        <v>9</v>
      </c>
      <c r="U11" s="11">
        <v>5</v>
      </c>
      <c r="V11" s="13">
        <f>TIME(0,T11,U11)</f>
        <v>6.3078703703703708E-3</v>
      </c>
      <c r="W11" s="11">
        <v>24</v>
      </c>
      <c r="X11" s="11">
        <f>W$2-W11</f>
        <v>24</v>
      </c>
      <c r="Y11" s="13">
        <f>V11+TIME(0,0,X11)</f>
        <v>6.5856481481481486E-3</v>
      </c>
      <c r="Z11" s="11">
        <f>RANK(Y11,Y$8:Y$12,1)</f>
        <v>4</v>
      </c>
      <c r="AA11" s="16">
        <f>VLOOKUP(Z11,'Место-баллы'!$A$3:$B$52,2,0)</f>
        <v>85</v>
      </c>
      <c r="AB11" s="12"/>
      <c r="AC11" s="11">
        <v>5</v>
      </c>
      <c r="AD11" s="11">
        <v>45</v>
      </c>
      <c r="AE11" s="13">
        <f>TIME(0,AC11,AD11)</f>
        <v>3.9930555555555561E-3</v>
      </c>
      <c r="AF11" s="11">
        <v>1150</v>
      </c>
      <c r="AG11" s="11">
        <f>AF$2-AF11</f>
        <v>0</v>
      </c>
      <c r="AH11" s="13">
        <f>AE11+TIME(0,0,AG11)</f>
        <v>3.9930555555555561E-3</v>
      </c>
      <c r="AI11" s="11">
        <f>RANK(AH11,AH$8:AH$12,1)</f>
        <v>5</v>
      </c>
      <c r="AJ11" s="16">
        <f>VLOOKUP(AI11,'Место-баллы'!$A$3:$B$52,2,0)</f>
        <v>80</v>
      </c>
      <c r="AK11" s="12"/>
      <c r="AL11" s="11">
        <v>12</v>
      </c>
      <c r="AM11" s="11">
        <v>5</v>
      </c>
      <c r="AN11" s="13">
        <f>TIME(0,AL11,AM11)</f>
        <v>8.3912037037037045E-3</v>
      </c>
      <c r="AO11" s="11">
        <v>164</v>
      </c>
      <c r="AP11" s="11">
        <f>AO$2-AO11</f>
        <v>46</v>
      </c>
      <c r="AQ11" s="13">
        <f>AN11+TIME(0,0,AP11)</f>
        <v>8.9236111111111113E-3</v>
      </c>
      <c r="AR11" s="11">
        <f>RANK(AQ11,AQ$8:AQ$12,1)</f>
        <v>4</v>
      </c>
      <c r="AS11" s="16">
        <f>VLOOKUP(AR11,'Место-баллы'!$A$3:$B$52,2,0)</f>
        <v>85</v>
      </c>
      <c r="AT11" s="12"/>
      <c r="AU11" s="11">
        <v>6</v>
      </c>
      <c r="AV11" s="11">
        <v>5</v>
      </c>
      <c r="AW11" s="13">
        <f>TIME(0,AU11,AV11)</f>
        <v>4.2245370370370371E-3</v>
      </c>
      <c r="AX11" s="11">
        <v>81</v>
      </c>
      <c r="AY11" s="11">
        <f>AX$2-AX11</f>
        <v>9</v>
      </c>
      <c r="AZ11" s="13">
        <f>AW11+TIME(0,0,AY11)</f>
        <v>4.3287037037037035E-3</v>
      </c>
      <c r="BA11" s="11">
        <f>RANK(AZ11,AZ$8:AZ$12,1)</f>
        <v>4</v>
      </c>
      <c r="BB11" s="16">
        <f>VLOOKUP(BA11,'Место-баллы'!$A$3:$B$52,2,0)</f>
        <v>85</v>
      </c>
    </row>
    <row r="12" spans="2:54" x14ac:dyDescent="0.25">
      <c r="B12" s="16">
        <f>RANK(C12,C$8:C$12,0)</f>
        <v>5</v>
      </c>
      <c r="C12" s="16">
        <f>SUMIF($G$1:$BB$1,1,$G12:$BB12)</f>
        <v>485</v>
      </c>
      <c r="D12" s="14"/>
      <c r="E12" s="9" t="s">
        <v>53</v>
      </c>
      <c r="F12" s="14"/>
      <c r="G12" s="16">
        <f>60*12</f>
        <v>720</v>
      </c>
      <c r="H12" s="16">
        <f>RANK(G12,G$8:G$12,0)</f>
        <v>5</v>
      </c>
      <c r="I12" s="16">
        <f>VLOOKUP(H12,'Место-баллы'!$A$3:$B$52,2,0)</f>
        <v>80</v>
      </c>
      <c r="J12" s="14"/>
      <c r="K12" s="11">
        <v>15</v>
      </c>
      <c r="L12" s="11">
        <v>5</v>
      </c>
      <c r="M12" s="13">
        <f>TIME(0,K12,L12)</f>
        <v>1.0474537037037037E-2</v>
      </c>
      <c r="N12" s="11">
        <v>129</v>
      </c>
      <c r="O12" s="11">
        <f>N$2-N12</f>
        <v>21</v>
      </c>
      <c r="P12" s="13">
        <f>M12+TIME(0,0,O12)</f>
        <v>1.0717592592592593E-2</v>
      </c>
      <c r="Q12" s="11">
        <f>RANK(P12,P$8:P$12,1)</f>
        <v>5</v>
      </c>
      <c r="R12" s="16">
        <f>VLOOKUP(Q12,'Место-баллы'!$A$3:$B$52,2,0)</f>
        <v>80</v>
      </c>
      <c r="S12" s="12"/>
      <c r="T12" s="11">
        <v>9</v>
      </c>
      <c r="U12" s="11">
        <v>5</v>
      </c>
      <c r="V12" s="13">
        <f>TIME(0,T12,U12)</f>
        <v>6.3078703703703708E-3</v>
      </c>
      <c r="W12" s="11">
        <v>17</v>
      </c>
      <c r="X12" s="11">
        <f>W$2-W12</f>
        <v>31</v>
      </c>
      <c r="Y12" s="13">
        <f>V12+TIME(0,0,X12)</f>
        <v>6.6666666666666671E-3</v>
      </c>
      <c r="Z12" s="11">
        <f>RANK(Y12,Y$8:Y$12,1)</f>
        <v>5</v>
      </c>
      <c r="AA12" s="16">
        <f>VLOOKUP(Z12,'Место-баллы'!$A$3:$B$52,2,0)</f>
        <v>80</v>
      </c>
      <c r="AB12" s="12"/>
      <c r="AC12" s="11">
        <v>5</v>
      </c>
      <c r="AD12" s="11">
        <v>28</v>
      </c>
      <c r="AE12" s="13">
        <f>TIME(0,AC12,AD12)</f>
        <v>3.7962962962962963E-3</v>
      </c>
      <c r="AF12" s="11">
        <v>1150</v>
      </c>
      <c r="AG12" s="11">
        <f>AF$2-AF12</f>
        <v>0</v>
      </c>
      <c r="AH12" s="13">
        <f>AE12+TIME(0,0,AG12)</f>
        <v>3.7962962962962963E-3</v>
      </c>
      <c r="AI12" s="11">
        <f>RANK(AH12,AH$8:AH$12,1)</f>
        <v>4</v>
      </c>
      <c r="AJ12" s="16">
        <f>VLOOKUP(AI12,'Место-баллы'!$A$3:$B$52,2,0)</f>
        <v>85</v>
      </c>
      <c r="AK12" s="12"/>
      <c r="AL12" s="11">
        <v>12</v>
      </c>
      <c r="AM12" s="11">
        <v>5</v>
      </c>
      <c r="AN12" s="13">
        <f>TIME(0,AL12,AM12)</f>
        <v>8.3912037037037045E-3</v>
      </c>
      <c r="AO12" s="11">
        <v>119</v>
      </c>
      <c r="AP12" s="11">
        <f>AO$2-AO12</f>
        <v>91</v>
      </c>
      <c r="AQ12" s="13">
        <f>AN12+TIME(0,0,AP12)</f>
        <v>9.4444444444444445E-3</v>
      </c>
      <c r="AR12" s="11">
        <f>RANK(AQ12,AQ$8:AQ$12,1)</f>
        <v>5</v>
      </c>
      <c r="AS12" s="16">
        <f>VLOOKUP(AR12,'Место-баллы'!$A$3:$B$52,2,0)</f>
        <v>80</v>
      </c>
      <c r="AT12" s="12"/>
      <c r="AU12" s="11">
        <v>6</v>
      </c>
      <c r="AV12" s="11">
        <v>5</v>
      </c>
      <c r="AW12" s="13">
        <f>TIME(0,AU12,AV12)</f>
        <v>4.2245370370370371E-3</v>
      </c>
      <c r="AX12" s="11">
        <v>64</v>
      </c>
      <c r="AY12" s="11">
        <f>AX$2-AX12</f>
        <v>26</v>
      </c>
      <c r="AZ12" s="13">
        <f>AW12+TIME(0,0,AY12)</f>
        <v>4.5254629629629629E-3</v>
      </c>
      <c r="BA12" s="11">
        <f>RANK(AZ12,AZ$8:AZ$12,1)</f>
        <v>5</v>
      </c>
      <c r="BB12" s="16">
        <f>VLOOKUP(BA12,'Место-баллы'!$A$3:$B$52,2,0)</f>
        <v>80</v>
      </c>
    </row>
    <row r="13" spans="2:54" ht="15.75" customHeight="1" x14ac:dyDescent="0.25"/>
    <row r="14" spans="2:54" ht="15.75" customHeight="1" x14ac:dyDescent="0.25"/>
    <row r="15" spans="2:54" ht="15.75" customHeight="1" x14ac:dyDescent="0.25"/>
    <row r="16" spans="2:54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</sheetData>
  <autoFilter ref="B7:BB7" xr:uid="{00000000-0001-0000-0800-000000000000}">
    <sortState xmlns:xlrd2="http://schemas.microsoft.com/office/spreadsheetml/2017/richdata2" ref="B8:BB12">
      <sortCondition ref="B7"/>
    </sortState>
  </autoFilter>
  <mergeCells count="8">
    <mergeCell ref="AL5:AS6"/>
    <mergeCell ref="AU5:BB6"/>
    <mergeCell ref="B5:C6"/>
    <mergeCell ref="E5:E6"/>
    <mergeCell ref="G5:I6"/>
    <mergeCell ref="K5:R6"/>
    <mergeCell ref="T5:AA6"/>
    <mergeCell ref="AC5:AJ6"/>
  </mergeCells>
  <printOptions horizontalCentered="1" verticalCentered="1"/>
  <pageMargins left="0" right="0" top="0" bottom="0" header="0" footer="0"/>
  <pageSetup paperSize="9" scale="6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Место-баллы</vt:lpstr>
      <vt:lpstr>13-14 Ж</vt:lpstr>
      <vt:lpstr>13-14 М</vt:lpstr>
      <vt:lpstr>15-16 Ж</vt:lpstr>
      <vt:lpstr>15-16 М</vt:lpstr>
      <vt:lpstr>17-18 Ж</vt:lpstr>
      <vt:lpstr>17-18 М</vt:lpstr>
      <vt:lpstr>19-20 Ж</vt:lpstr>
      <vt:lpstr>19-20 М</vt:lpstr>
      <vt:lpstr>21+ Ж</vt:lpstr>
      <vt:lpstr>21+ 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2022-12-17T17:52:48Z</cp:lastPrinted>
  <dcterms:created xsi:type="dcterms:W3CDTF">2017-08-12T14:09:08Z</dcterms:created>
  <dcterms:modified xsi:type="dcterms:W3CDTF">2022-12-17T17:55:43Z</dcterms:modified>
</cp:coreProperties>
</file>