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A2CD6750-4355-4005-BBA7-AD37E0768297}" xr6:coauthVersionLast="47" xr6:coauthVersionMax="47" xr10:uidLastSave="{00000000-0000-0000-0000-000000000000}"/>
  <bookViews>
    <workbookView xWindow="-120" yWindow="-120" windowWidth="20730" windowHeight="11310" tabRatio="487" activeTab="2" xr2:uid="{00000000-000D-0000-FFFF-FFFF00000000}"/>
  </bookViews>
  <sheets>
    <sheet name="Место-баллы" sheetId="1" r:id="rId1"/>
    <sheet name="Ж" sheetId="15" r:id="rId2"/>
    <sheet name="М" sheetId="26" r:id="rId3"/>
    <sheet name="К (13-15 - 35-45)" sheetId="24" r:id="rId4"/>
    <sheet name="К (16-18 - 46-55)" sheetId="25" r:id="rId5"/>
  </sheets>
  <definedNames>
    <definedName name="_xlnm._FilterDatabase" localSheetId="1" hidden="1">Ж!$B$7:$BS$7</definedName>
    <definedName name="_xlnm._FilterDatabase" localSheetId="3" hidden="1">'К (13-15 - 35-45)'!$B$7:$AS$7</definedName>
    <definedName name="_xlnm._FilterDatabase" localSheetId="4" hidden="1">'К (16-18 - 46-55)'!$B$7:$AS$7</definedName>
    <definedName name="_xlnm._FilterDatabase" localSheetId="2" hidden="1">М!$B$7:$BT$7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17" i="15" l="1"/>
  <c r="AN18" i="15"/>
  <c r="AF27" i="26"/>
  <c r="AF32" i="26"/>
  <c r="AF26" i="26"/>
  <c r="AF31" i="26"/>
  <c r="W31" i="26"/>
  <c r="AF23" i="26"/>
  <c r="AF30" i="26"/>
  <c r="W30" i="26"/>
  <c r="AF24" i="26"/>
  <c r="AF25" i="26"/>
  <c r="AF28" i="26"/>
  <c r="AE14" i="15"/>
  <c r="AE16" i="15"/>
  <c r="AE17" i="15"/>
  <c r="AE18" i="15"/>
  <c r="V18" i="15"/>
  <c r="AE11" i="15"/>
  <c r="AE13" i="15"/>
  <c r="AE15" i="15"/>
  <c r="V15" i="15"/>
  <c r="L18" i="15"/>
  <c r="L13" i="15"/>
  <c r="L16" i="15"/>
  <c r="L14" i="15"/>
  <c r="L9" i="15"/>
  <c r="L15" i="15"/>
  <c r="L12" i="15"/>
  <c r="L11" i="15"/>
  <c r="L10" i="15"/>
  <c r="L8" i="15"/>
  <c r="L17" i="15"/>
  <c r="W14" i="24"/>
  <c r="G11" i="25"/>
  <c r="N10" i="25"/>
  <c r="G10" i="25"/>
  <c r="G9" i="25"/>
  <c r="K8" i="25"/>
  <c r="G8" i="25"/>
  <c r="N12" i="24"/>
  <c r="G12" i="24"/>
  <c r="N16" i="24"/>
  <c r="G16" i="24"/>
  <c r="N14" i="24"/>
  <c r="G14" i="24"/>
  <c r="N10" i="24"/>
  <c r="G10" i="24"/>
  <c r="N13" i="24"/>
  <c r="G13" i="24"/>
  <c r="G9" i="24"/>
  <c r="G8" i="24"/>
  <c r="G11" i="24"/>
  <c r="G15" i="24"/>
  <c r="BQ9" i="26"/>
  <c r="BO9" i="26"/>
  <c r="BQ13" i="26"/>
  <c r="BO13" i="26"/>
  <c r="BQ11" i="26"/>
  <c r="BO11" i="26"/>
  <c r="BQ15" i="26"/>
  <c r="BO15" i="26"/>
  <c r="BQ14" i="26"/>
  <c r="BO14" i="26"/>
  <c r="BQ8" i="26"/>
  <c r="BO8" i="26"/>
  <c r="BQ10" i="26"/>
  <c r="BO10" i="26"/>
  <c r="BQ12" i="26"/>
  <c r="BO12" i="26"/>
  <c r="BP9" i="15"/>
  <c r="BN9" i="15"/>
  <c r="BP10" i="15"/>
  <c r="BN10" i="15"/>
  <c r="BP8" i="15"/>
  <c r="BN8" i="15"/>
  <c r="BP11" i="15"/>
  <c r="BN11" i="15"/>
  <c r="BR10" i="26" l="1"/>
  <c r="BR8" i="26"/>
  <c r="BR14" i="26"/>
  <c r="BR15" i="26"/>
  <c r="BR11" i="26"/>
  <c r="BR13" i="26"/>
  <c r="BR9" i="26"/>
  <c r="BQ11" i="15"/>
  <c r="BQ8" i="15"/>
  <c r="BQ10" i="15"/>
  <c r="BQ9" i="15"/>
  <c r="BR12" i="26"/>
  <c r="H34" i="26"/>
  <c r="I34" i="26" s="1"/>
  <c r="Q34" i="26"/>
  <c r="R34" i="26" s="1"/>
  <c r="V34" i="26"/>
  <c r="AE34" i="26"/>
  <c r="AG34" i="26"/>
  <c r="AN34" i="26"/>
  <c r="H28" i="26"/>
  <c r="I28" i="26" s="1"/>
  <c r="Q28" i="26"/>
  <c r="R28" i="26" s="1"/>
  <c r="V28" i="26"/>
  <c r="AE28" i="26"/>
  <c r="AG28" i="26"/>
  <c r="AN28" i="26"/>
  <c r="H12" i="26"/>
  <c r="I12" i="26" s="1"/>
  <c r="Q12" i="26"/>
  <c r="R12" i="26" s="1"/>
  <c r="V12" i="26"/>
  <c r="AE12" i="26"/>
  <c r="AG12" i="26"/>
  <c r="AN12" i="26"/>
  <c r="AW12" i="26"/>
  <c r="BF12" i="26"/>
  <c r="BH12" i="26"/>
  <c r="H25" i="26"/>
  <c r="I25" i="26" s="1"/>
  <c r="Q25" i="26"/>
  <c r="R25" i="26" s="1"/>
  <c r="V25" i="26"/>
  <c r="AE25" i="26"/>
  <c r="AG25" i="26"/>
  <c r="AN25" i="26"/>
  <c r="H30" i="26"/>
  <c r="I30" i="26" s="1"/>
  <c r="Q30" i="26"/>
  <c r="R30" i="26" s="1"/>
  <c r="V30" i="26"/>
  <c r="AE30" i="26"/>
  <c r="AG30" i="26"/>
  <c r="AN30" i="26"/>
  <c r="H16" i="26"/>
  <c r="I16" i="26" s="1"/>
  <c r="Q16" i="26"/>
  <c r="R16" i="26" s="1"/>
  <c r="V16" i="26"/>
  <c r="AE16" i="26"/>
  <c r="AG16" i="26"/>
  <c r="AN16" i="26"/>
  <c r="AW16" i="26"/>
  <c r="BF16" i="26"/>
  <c r="BH16" i="26"/>
  <c r="H24" i="26"/>
  <c r="I24" i="26" s="1"/>
  <c r="Q24" i="26"/>
  <c r="R24" i="26" s="1"/>
  <c r="V24" i="26"/>
  <c r="AE24" i="26"/>
  <c r="AG24" i="26"/>
  <c r="AN24" i="26"/>
  <c r="H20" i="26"/>
  <c r="I20" i="26" s="1"/>
  <c r="Q20" i="26"/>
  <c r="R20" i="26" s="1"/>
  <c r="V20" i="26"/>
  <c r="AE20" i="26"/>
  <c r="AG20" i="26"/>
  <c r="AN20" i="26"/>
  <c r="AW20" i="26"/>
  <c r="BF20" i="26"/>
  <c r="BH20" i="26"/>
  <c r="H35" i="26"/>
  <c r="I35" i="26" s="1"/>
  <c r="Q35" i="26"/>
  <c r="R35" i="26" s="1"/>
  <c r="H10" i="26"/>
  <c r="I10" i="26" s="1"/>
  <c r="Q10" i="26"/>
  <c r="R10" i="26" s="1"/>
  <c r="V10" i="26"/>
  <c r="AE10" i="26"/>
  <c r="AG10" i="26"/>
  <c r="AN10" i="26"/>
  <c r="AW10" i="26"/>
  <c r="BF10" i="26"/>
  <c r="BH10" i="26"/>
  <c r="H23" i="26"/>
  <c r="I23" i="26" s="1"/>
  <c r="Q23" i="26"/>
  <c r="R23" i="26" s="1"/>
  <c r="V23" i="26"/>
  <c r="AE23" i="26"/>
  <c r="AG23" i="26"/>
  <c r="AN23" i="26"/>
  <c r="H8" i="26"/>
  <c r="I8" i="26" s="1"/>
  <c r="Q8" i="26"/>
  <c r="R8" i="26" s="1"/>
  <c r="V8" i="26"/>
  <c r="AE8" i="26"/>
  <c r="AG8" i="26"/>
  <c r="AN8" i="26"/>
  <c r="AW8" i="26"/>
  <c r="BF8" i="26"/>
  <c r="BH8" i="26"/>
  <c r="H17" i="26"/>
  <c r="I17" i="26" s="1"/>
  <c r="Q17" i="26"/>
  <c r="R17" i="26" s="1"/>
  <c r="V17" i="26"/>
  <c r="AE17" i="26"/>
  <c r="AG17" i="26"/>
  <c r="AN17" i="26"/>
  <c r="AW17" i="26"/>
  <c r="BF17" i="26"/>
  <c r="BH17" i="26"/>
  <c r="H31" i="26"/>
  <c r="I31" i="26" s="1"/>
  <c r="Q31" i="26"/>
  <c r="R31" i="26" s="1"/>
  <c r="V31" i="26"/>
  <c r="AE31" i="26"/>
  <c r="AG31" i="26"/>
  <c r="AN31" i="26"/>
  <c r="H14" i="26"/>
  <c r="I14" i="26" s="1"/>
  <c r="Q14" i="26"/>
  <c r="R14" i="26" s="1"/>
  <c r="V14" i="26"/>
  <c r="AE14" i="26"/>
  <c r="AG14" i="26"/>
  <c r="AN14" i="26"/>
  <c r="AW14" i="26"/>
  <c r="BF14" i="26"/>
  <c r="BH14" i="26"/>
  <c r="H19" i="26"/>
  <c r="I19" i="26" s="1"/>
  <c r="Q19" i="26"/>
  <c r="R19" i="26" s="1"/>
  <c r="V19" i="26"/>
  <c r="AE19" i="26"/>
  <c r="AG19" i="26"/>
  <c r="AN19" i="26"/>
  <c r="AW19" i="26"/>
  <c r="BF19" i="26"/>
  <c r="BH19" i="26"/>
  <c r="H22" i="26"/>
  <c r="I22" i="26" s="1"/>
  <c r="Q22" i="26"/>
  <c r="R22" i="26" s="1"/>
  <c r="V22" i="26"/>
  <c r="AE22" i="26"/>
  <c r="AG22" i="26"/>
  <c r="AN22" i="26"/>
  <c r="H15" i="26"/>
  <c r="I15" i="26" s="1"/>
  <c r="Q15" i="26"/>
  <c r="R15" i="26" s="1"/>
  <c r="V15" i="26"/>
  <c r="AE15" i="26"/>
  <c r="AG15" i="26"/>
  <c r="AN15" i="26"/>
  <c r="AW15" i="26"/>
  <c r="BF15" i="26"/>
  <c r="BH15" i="26"/>
  <c r="H26" i="26"/>
  <c r="I26" i="26" s="1"/>
  <c r="Q26" i="26"/>
  <c r="R26" i="26" s="1"/>
  <c r="V26" i="26"/>
  <c r="AE26" i="26"/>
  <c r="AG26" i="26"/>
  <c r="AN26" i="26"/>
  <c r="H29" i="26"/>
  <c r="I29" i="26" s="1"/>
  <c r="Q29" i="26"/>
  <c r="R29" i="26" s="1"/>
  <c r="V29" i="26"/>
  <c r="AE29" i="26"/>
  <c r="AG29" i="26"/>
  <c r="AN29" i="26"/>
  <c r="H32" i="26"/>
  <c r="I32" i="26" s="1"/>
  <c r="Q32" i="26"/>
  <c r="R32" i="26" s="1"/>
  <c r="V32" i="26"/>
  <c r="AE32" i="26"/>
  <c r="AG32" i="26"/>
  <c r="AN32" i="26"/>
  <c r="H11" i="26"/>
  <c r="I11" i="26" s="1"/>
  <c r="Q11" i="26"/>
  <c r="R11" i="26" s="1"/>
  <c r="V11" i="26"/>
  <c r="AE11" i="26"/>
  <c r="AG11" i="26"/>
  <c r="AN11" i="26"/>
  <c r="AW11" i="26"/>
  <c r="BF11" i="26"/>
  <c r="BH11" i="26"/>
  <c r="H33" i="26"/>
  <c r="I33" i="26" s="1"/>
  <c r="Q33" i="26"/>
  <c r="R33" i="26" s="1"/>
  <c r="H21" i="26"/>
  <c r="I21" i="26" s="1"/>
  <c r="Q21" i="26"/>
  <c r="R21" i="26" s="1"/>
  <c r="V21" i="26"/>
  <c r="AE21" i="26"/>
  <c r="AG21" i="26"/>
  <c r="AN21" i="26"/>
  <c r="AW21" i="26"/>
  <c r="BF21" i="26"/>
  <c r="BH21" i="26"/>
  <c r="H37" i="26"/>
  <c r="I37" i="26" s="1"/>
  <c r="Q37" i="26"/>
  <c r="R37" i="26" s="1"/>
  <c r="H27" i="26"/>
  <c r="I27" i="26" s="1"/>
  <c r="Q27" i="26"/>
  <c r="R27" i="26" s="1"/>
  <c r="V27" i="26"/>
  <c r="AE27" i="26"/>
  <c r="AG27" i="26"/>
  <c r="AN27" i="26"/>
  <c r="H18" i="26"/>
  <c r="I18" i="26" s="1"/>
  <c r="Q18" i="26"/>
  <c r="R18" i="26" s="1"/>
  <c r="V18" i="26"/>
  <c r="AE18" i="26"/>
  <c r="AG18" i="26"/>
  <c r="AN18" i="26"/>
  <c r="AW18" i="26"/>
  <c r="BF18" i="26"/>
  <c r="BH18" i="26"/>
  <c r="H13" i="26"/>
  <c r="I13" i="26" s="1"/>
  <c r="Q13" i="26"/>
  <c r="R13" i="26" s="1"/>
  <c r="V13" i="26"/>
  <c r="AE13" i="26"/>
  <c r="AG13" i="26"/>
  <c r="AN13" i="26"/>
  <c r="AW13" i="26"/>
  <c r="BF13" i="26"/>
  <c r="BH13" i="26"/>
  <c r="H9" i="26"/>
  <c r="I9" i="26" s="1"/>
  <c r="Q9" i="26"/>
  <c r="R9" i="26" s="1"/>
  <c r="V9" i="26"/>
  <c r="AE9" i="26"/>
  <c r="AG9" i="26"/>
  <c r="AN9" i="26"/>
  <c r="AW9" i="26"/>
  <c r="BF9" i="26"/>
  <c r="BH9" i="26"/>
  <c r="Q36" i="26"/>
  <c r="R36" i="26" s="1"/>
  <c r="H36" i="26"/>
  <c r="I36" i="26" s="1"/>
  <c r="AX2" i="26"/>
  <c r="AO2" i="26"/>
  <c r="AP16" i="26" s="1"/>
  <c r="W2" i="26"/>
  <c r="BE12" i="15"/>
  <c r="BE9" i="15"/>
  <c r="BE14" i="15"/>
  <c r="BE17" i="15"/>
  <c r="BE16" i="15"/>
  <c r="BE13" i="15"/>
  <c r="BE10" i="15"/>
  <c r="BE15" i="15"/>
  <c r="BE8" i="15"/>
  <c r="BE11" i="15"/>
  <c r="AW2" i="15"/>
  <c r="AV12" i="15"/>
  <c r="AV9" i="15"/>
  <c r="AV14" i="15"/>
  <c r="AV17" i="15"/>
  <c r="AV16" i="15"/>
  <c r="AV13" i="15"/>
  <c r="AV10" i="15"/>
  <c r="AV15" i="15"/>
  <c r="AV8" i="15"/>
  <c r="AV18" i="15"/>
  <c r="AV11" i="15"/>
  <c r="AN2" i="15"/>
  <c r="AM12" i="15"/>
  <c r="AM9" i="15"/>
  <c r="AM14" i="15"/>
  <c r="AM17" i="15"/>
  <c r="AM16" i="15"/>
  <c r="AM13" i="15"/>
  <c r="AM10" i="15"/>
  <c r="AM15" i="15"/>
  <c r="AM8" i="15"/>
  <c r="AM18" i="15"/>
  <c r="AM11" i="15"/>
  <c r="V2" i="15"/>
  <c r="AP11" i="25"/>
  <c r="AN11" i="25"/>
  <c r="AE11" i="25"/>
  <c r="V11" i="25"/>
  <c r="M11" i="25"/>
  <c r="H11" i="25"/>
  <c r="I11" i="25" s="1"/>
  <c r="AP10" i="25"/>
  <c r="AN10" i="25"/>
  <c r="AE10" i="25"/>
  <c r="V10" i="25"/>
  <c r="M10" i="25"/>
  <c r="H10" i="25"/>
  <c r="I10" i="25" s="1"/>
  <c r="AP8" i="25"/>
  <c r="AN8" i="25"/>
  <c r="AE8" i="25"/>
  <c r="V8" i="25"/>
  <c r="M8" i="25"/>
  <c r="H8" i="25"/>
  <c r="I8" i="25" s="1"/>
  <c r="AP9" i="25"/>
  <c r="AN9" i="25"/>
  <c r="AE9" i="25"/>
  <c r="V9" i="25"/>
  <c r="M9" i="25"/>
  <c r="H9" i="25"/>
  <c r="I9" i="25" s="1"/>
  <c r="AF2" i="25"/>
  <c r="W2" i="25"/>
  <c r="N2" i="25"/>
  <c r="AN12" i="24"/>
  <c r="AN14" i="24"/>
  <c r="AN13" i="24"/>
  <c r="AN10" i="24"/>
  <c r="AN15" i="24"/>
  <c r="AN8" i="24"/>
  <c r="AP9" i="24"/>
  <c r="AN9" i="24"/>
  <c r="AN11" i="24"/>
  <c r="AF2" i="24"/>
  <c r="W2" i="24"/>
  <c r="X12" i="24" s="1"/>
  <c r="N2" i="24"/>
  <c r="M12" i="24"/>
  <c r="M16" i="24"/>
  <c r="M14" i="24"/>
  <c r="M13" i="24"/>
  <c r="M10" i="24"/>
  <c r="M15" i="24"/>
  <c r="M8" i="24"/>
  <c r="M9" i="24"/>
  <c r="M11" i="24"/>
  <c r="AG12" i="24"/>
  <c r="AE12" i="24"/>
  <c r="V12" i="24"/>
  <c r="H12" i="24"/>
  <c r="I12" i="24" s="1"/>
  <c r="H16" i="24"/>
  <c r="I16" i="24" s="1"/>
  <c r="AG14" i="24"/>
  <c r="AE14" i="24"/>
  <c r="V14" i="24"/>
  <c r="H14" i="24"/>
  <c r="I14" i="24" s="1"/>
  <c r="AE13" i="24"/>
  <c r="V13" i="24"/>
  <c r="H13" i="24"/>
  <c r="I13" i="24" s="1"/>
  <c r="AE10" i="24"/>
  <c r="V10" i="24"/>
  <c r="H10" i="24"/>
  <c r="I10" i="24" s="1"/>
  <c r="AE15" i="24"/>
  <c r="V15" i="24"/>
  <c r="H15" i="24"/>
  <c r="I15" i="24" s="1"/>
  <c r="AG8" i="24"/>
  <c r="AE8" i="24"/>
  <c r="V8" i="24"/>
  <c r="H8" i="24"/>
  <c r="I8" i="24" s="1"/>
  <c r="AE9" i="24"/>
  <c r="V9" i="24"/>
  <c r="H9" i="24"/>
  <c r="I9" i="24" s="1"/>
  <c r="AG11" i="24"/>
  <c r="AE11" i="24"/>
  <c r="V11" i="24"/>
  <c r="H11" i="24"/>
  <c r="I11" i="24" s="1"/>
  <c r="H18" i="15"/>
  <c r="I18" i="15" s="1"/>
  <c r="P18" i="15"/>
  <c r="Q18" i="15" s="1"/>
  <c r="U18" i="15"/>
  <c r="AD18" i="15"/>
  <c r="AF18" i="15"/>
  <c r="H8" i="15"/>
  <c r="I8" i="15" s="1"/>
  <c r="P8" i="15"/>
  <c r="Q8" i="15" s="1"/>
  <c r="U8" i="15"/>
  <c r="AD8" i="15"/>
  <c r="AF8" i="15"/>
  <c r="H15" i="15"/>
  <c r="I15" i="15" s="1"/>
  <c r="P15" i="15"/>
  <c r="Q15" i="15" s="1"/>
  <c r="U15" i="15"/>
  <c r="AD15" i="15"/>
  <c r="AF15" i="15"/>
  <c r="H10" i="15"/>
  <c r="I10" i="15" s="1"/>
  <c r="P10" i="15"/>
  <c r="Q10" i="15" s="1"/>
  <c r="U10" i="15"/>
  <c r="AD10" i="15"/>
  <c r="AF10" i="15"/>
  <c r="H13" i="15"/>
  <c r="I13" i="15" s="1"/>
  <c r="P13" i="15"/>
  <c r="Q13" i="15" s="1"/>
  <c r="U13" i="15"/>
  <c r="AD13" i="15"/>
  <c r="AF13" i="15"/>
  <c r="H16" i="15"/>
  <c r="I16" i="15" s="1"/>
  <c r="P16" i="15"/>
  <c r="Q16" i="15" s="1"/>
  <c r="U16" i="15"/>
  <c r="AD16" i="15"/>
  <c r="AF16" i="15"/>
  <c r="H17" i="15"/>
  <c r="I17" i="15" s="1"/>
  <c r="P17" i="15"/>
  <c r="Q17" i="15" s="1"/>
  <c r="U17" i="15"/>
  <c r="AD17" i="15"/>
  <c r="AF17" i="15"/>
  <c r="H14" i="15"/>
  <c r="I14" i="15" s="1"/>
  <c r="P14" i="15"/>
  <c r="Q14" i="15" s="1"/>
  <c r="U14" i="15"/>
  <c r="AD14" i="15"/>
  <c r="AF14" i="15"/>
  <c r="H9" i="15"/>
  <c r="I9" i="15" s="1"/>
  <c r="P9" i="15"/>
  <c r="Q9" i="15" s="1"/>
  <c r="U9" i="15"/>
  <c r="AD9" i="15"/>
  <c r="AF9" i="15"/>
  <c r="H12" i="15"/>
  <c r="I12" i="15" s="1"/>
  <c r="P12" i="15"/>
  <c r="Q12" i="15" s="1"/>
  <c r="U12" i="15"/>
  <c r="AD12" i="15"/>
  <c r="AF12" i="15"/>
  <c r="AQ16" i="26" l="1"/>
  <c r="X9" i="24"/>
  <c r="X8" i="24"/>
  <c r="Y8" i="24" s="1"/>
  <c r="X11" i="24"/>
  <c r="X15" i="24"/>
  <c r="Y15" i="24" s="1"/>
  <c r="X10" i="24"/>
  <c r="X13" i="24"/>
  <c r="Y13" i="24" s="1"/>
  <c r="X14" i="24"/>
  <c r="AH17" i="26"/>
  <c r="BI21" i="26"/>
  <c r="AH32" i="26"/>
  <c r="AH26" i="26"/>
  <c r="AH14" i="26"/>
  <c r="BI19" i="26"/>
  <c r="AH19" i="26"/>
  <c r="BI16" i="26"/>
  <c r="AH23" i="26"/>
  <c r="AH10" i="26"/>
  <c r="AP32" i="26"/>
  <c r="AQ32" i="26" s="1"/>
  <c r="AP14" i="26"/>
  <c r="AQ14" i="26" s="1"/>
  <c r="BI13" i="26"/>
  <c r="AH29" i="26"/>
  <c r="AP26" i="26"/>
  <c r="AQ26" i="26" s="1"/>
  <c r="AH22" i="26"/>
  <c r="AP18" i="26"/>
  <c r="AQ18" i="26" s="1"/>
  <c r="AH18" i="26"/>
  <c r="AP11" i="26"/>
  <c r="AQ11" i="26" s="1"/>
  <c r="AH11" i="26"/>
  <c r="BI15" i="26"/>
  <c r="AH15" i="26"/>
  <c r="AP22" i="26"/>
  <c r="AQ22" i="26" s="1"/>
  <c r="AH31" i="26"/>
  <c r="BI8" i="26"/>
  <c r="AH8" i="26"/>
  <c r="AP23" i="26"/>
  <c r="AQ23" i="26" s="1"/>
  <c r="BI20" i="26"/>
  <c r="AH24" i="26"/>
  <c r="AH16" i="26"/>
  <c r="AH25" i="26"/>
  <c r="BI12" i="26"/>
  <c r="N12" i="26"/>
  <c r="AH28" i="26"/>
  <c r="BR11" i="15"/>
  <c r="BS11" i="15" s="1"/>
  <c r="M18" i="15"/>
  <c r="M15" i="15"/>
  <c r="M13" i="15"/>
  <c r="M17" i="15"/>
  <c r="M12" i="15"/>
  <c r="AG12" i="15"/>
  <c r="W12" i="15"/>
  <c r="X12" i="15" s="1"/>
  <c r="W9" i="15"/>
  <c r="X9" i="15" s="1"/>
  <c r="W14" i="15"/>
  <c r="X14" i="15" s="1"/>
  <c r="W17" i="15"/>
  <c r="X17" i="15" s="1"/>
  <c r="AG16" i="15"/>
  <c r="W16" i="15"/>
  <c r="X16" i="15" s="1"/>
  <c r="W13" i="15"/>
  <c r="X13" i="15" s="1"/>
  <c r="AG10" i="15"/>
  <c r="W10" i="15"/>
  <c r="X10" i="15" s="1"/>
  <c r="W15" i="15"/>
  <c r="X15" i="15" s="1"/>
  <c r="W8" i="15"/>
  <c r="X8" i="15" s="1"/>
  <c r="AG18" i="15"/>
  <c r="W18" i="15"/>
  <c r="X18" i="15" s="1"/>
  <c r="M8" i="15"/>
  <c r="M16" i="15"/>
  <c r="M14" i="15"/>
  <c r="M9" i="15"/>
  <c r="BR9" i="15"/>
  <c r="BS9" i="15" s="1"/>
  <c r="BR10" i="15"/>
  <c r="BS10" i="15" s="1"/>
  <c r="BR8" i="15"/>
  <c r="BS8" i="15" s="1"/>
  <c r="O11" i="25"/>
  <c r="AG11" i="25"/>
  <c r="AH11" i="25" s="1"/>
  <c r="AQ9" i="25"/>
  <c r="AQ8" i="25"/>
  <c r="AQ10" i="25"/>
  <c r="AQ11" i="25"/>
  <c r="O9" i="25"/>
  <c r="P9" i="25" s="1"/>
  <c r="O8" i="25"/>
  <c r="P8" i="25" s="1"/>
  <c r="O10" i="25"/>
  <c r="P10" i="25" s="1"/>
  <c r="Y10" i="24"/>
  <c r="AQ9" i="24"/>
  <c r="BS12" i="26"/>
  <c r="BT12" i="26" s="1"/>
  <c r="BS9" i="26"/>
  <c r="BT9" i="26" s="1"/>
  <c r="BS14" i="26"/>
  <c r="BT14" i="26" s="1"/>
  <c r="BS13" i="26"/>
  <c r="BT13" i="26" s="1"/>
  <c r="BS11" i="26"/>
  <c r="BT11" i="26" s="1"/>
  <c r="BS15" i="26"/>
  <c r="BT15" i="26" s="1"/>
  <c r="BS8" i="26"/>
  <c r="BT8" i="26" s="1"/>
  <c r="BS10" i="26"/>
  <c r="BT10" i="26" s="1"/>
  <c r="BI9" i="26"/>
  <c r="BI18" i="26"/>
  <c r="X28" i="26"/>
  <c r="Y28" i="26" s="1"/>
  <c r="X25" i="26"/>
  <c r="Y25" i="26" s="1"/>
  <c r="X16" i="26"/>
  <c r="Y16" i="26" s="1"/>
  <c r="X24" i="26"/>
  <c r="Y24" i="26" s="1"/>
  <c r="X10" i="26"/>
  <c r="Y10" i="26" s="1"/>
  <c r="X23" i="26"/>
  <c r="Y23" i="26" s="1"/>
  <c r="X17" i="26"/>
  <c r="Y17" i="26" s="1"/>
  <c r="X14" i="26"/>
  <c r="Y14" i="26" s="1"/>
  <c r="AY16" i="26"/>
  <c r="AZ16" i="26" s="1"/>
  <c r="AY8" i="26"/>
  <c r="AZ8" i="26" s="1"/>
  <c r="AY11" i="26"/>
  <c r="AZ11" i="26" s="1"/>
  <c r="X11" i="26"/>
  <c r="Y11" i="26" s="1"/>
  <c r="X29" i="26"/>
  <c r="Y29" i="26" s="1"/>
  <c r="X15" i="26"/>
  <c r="Y15" i="26" s="1"/>
  <c r="AY14" i="26"/>
  <c r="AZ14" i="26" s="1"/>
  <c r="X31" i="26"/>
  <c r="Y31" i="26" s="1"/>
  <c r="AY20" i="26"/>
  <c r="AZ20" i="26" s="1"/>
  <c r="X20" i="26"/>
  <c r="Y20" i="26" s="1"/>
  <c r="X30" i="26"/>
  <c r="Y30" i="26" s="1"/>
  <c r="AY12" i="26"/>
  <c r="AZ12" i="26" s="1"/>
  <c r="X12" i="26"/>
  <c r="Y12" i="26" s="1"/>
  <c r="AP34" i="26"/>
  <c r="AQ34" i="26" s="1"/>
  <c r="AP12" i="26"/>
  <c r="AQ12" i="26" s="1"/>
  <c r="AP30" i="26"/>
  <c r="AQ30" i="26" s="1"/>
  <c r="AP20" i="26"/>
  <c r="AQ20" i="26" s="1"/>
  <c r="AP8" i="26"/>
  <c r="AQ8" i="26" s="1"/>
  <c r="AP31" i="26"/>
  <c r="AQ31" i="26" s="1"/>
  <c r="AY9" i="26"/>
  <c r="AZ9" i="26" s="1"/>
  <c r="AP9" i="26"/>
  <c r="AQ9" i="26" s="1"/>
  <c r="AH9" i="26"/>
  <c r="X9" i="26"/>
  <c r="Y9" i="26" s="1"/>
  <c r="AY13" i="26"/>
  <c r="AZ13" i="26" s="1"/>
  <c r="AP13" i="26"/>
  <c r="AQ13" i="26" s="1"/>
  <c r="AH13" i="26"/>
  <c r="X13" i="26"/>
  <c r="Y13" i="26" s="1"/>
  <c r="AY18" i="26"/>
  <c r="AZ18" i="26" s="1"/>
  <c r="X18" i="26"/>
  <c r="Y18" i="26" s="1"/>
  <c r="AP27" i="26"/>
  <c r="AQ27" i="26" s="1"/>
  <c r="AH27" i="26"/>
  <c r="X27" i="26"/>
  <c r="Y27" i="26" s="1"/>
  <c r="AY21" i="26"/>
  <c r="AZ21" i="26" s="1"/>
  <c r="AP21" i="26"/>
  <c r="AQ21" i="26" s="1"/>
  <c r="AH21" i="26"/>
  <c r="X21" i="26"/>
  <c r="Y21" i="26" s="1"/>
  <c r="BI11" i="26"/>
  <c r="X32" i="26"/>
  <c r="Y32" i="26" s="1"/>
  <c r="AP29" i="26"/>
  <c r="AQ29" i="26" s="1"/>
  <c r="X26" i="26"/>
  <c r="Y26" i="26" s="1"/>
  <c r="AY15" i="26"/>
  <c r="AZ15" i="26" s="1"/>
  <c r="AP15" i="26"/>
  <c r="AQ15" i="26" s="1"/>
  <c r="X22" i="26"/>
  <c r="Y22" i="26" s="1"/>
  <c r="AY19" i="26"/>
  <c r="AZ19" i="26" s="1"/>
  <c r="AP19" i="26"/>
  <c r="AQ19" i="26" s="1"/>
  <c r="X19" i="26"/>
  <c r="Y19" i="26" s="1"/>
  <c r="AY17" i="26"/>
  <c r="AZ17" i="26" s="1"/>
  <c r="AP17" i="26"/>
  <c r="AQ17" i="26" s="1"/>
  <c r="X8" i="26"/>
  <c r="Y8" i="26" s="1"/>
  <c r="AY10" i="26"/>
  <c r="AZ10" i="26" s="1"/>
  <c r="AP10" i="26"/>
  <c r="AQ10" i="26" s="1"/>
  <c r="AP24" i="26"/>
  <c r="AQ24" i="26" s="1"/>
  <c r="AP25" i="26"/>
  <c r="AQ25" i="26" s="1"/>
  <c r="AP28" i="26"/>
  <c r="AQ28" i="26" s="1"/>
  <c r="X34" i="26"/>
  <c r="Y34" i="26" s="1"/>
  <c r="BI14" i="26"/>
  <c r="BI17" i="26"/>
  <c r="BI10" i="26"/>
  <c r="AH20" i="26"/>
  <c r="AH30" i="26"/>
  <c r="AH12" i="26"/>
  <c r="AH34" i="26"/>
  <c r="M10" i="15"/>
  <c r="AO11" i="15"/>
  <c r="AP11" i="15" s="1"/>
  <c r="AO18" i="15"/>
  <c r="AP18" i="15" s="1"/>
  <c r="AO8" i="15"/>
  <c r="AP8" i="15" s="1"/>
  <c r="AO15" i="15"/>
  <c r="AP15" i="15" s="1"/>
  <c r="AO10" i="15"/>
  <c r="AP10" i="15" s="1"/>
  <c r="AO13" i="15"/>
  <c r="AP13" i="15" s="1"/>
  <c r="AO16" i="15"/>
  <c r="AP16" i="15" s="1"/>
  <c r="AO17" i="15"/>
  <c r="AP17" i="15" s="1"/>
  <c r="AO14" i="15"/>
  <c r="AP14" i="15" s="1"/>
  <c r="AO9" i="15"/>
  <c r="AP9" i="15" s="1"/>
  <c r="AO12" i="15"/>
  <c r="BG11" i="15"/>
  <c r="BH11" i="15" s="1"/>
  <c r="BG15" i="15"/>
  <c r="BH15" i="15" s="1"/>
  <c r="BG13" i="15"/>
  <c r="BH13" i="15" s="1"/>
  <c r="BG17" i="15"/>
  <c r="BH17" i="15" s="1"/>
  <c r="BG12" i="15"/>
  <c r="BH12" i="15" s="1"/>
  <c r="BG8" i="15"/>
  <c r="BH8" i="15" s="1"/>
  <c r="BG10" i="15"/>
  <c r="BH10" i="15" s="1"/>
  <c r="BG16" i="15"/>
  <c r="BH16" i="15" s="1"/>
  <c r="BG14" i="15"/>
  <c r="BH14" i="15" s="1"/>
  <c r="BG9" i="15"/>
  <c r="BH9" i="15" s="1"/>
  <c r="AX11" i="15"/>
  <c r="AY11" i="15" s="1"/>
  <c r="AX18" i="15"/>
  <c r="AY18" i="15" s="1"/>
  <c r="AX15" i="15"/>
  <c r="AY15" i="15" s="1"/>
  <c r="AX13" i="15"/>
  <c r="AY13" i="15" s="1"/>
  <c r="AX17" i="15"/>
  <c r="AY17" i="15" s="1"/>
  <c r="AX12" i="15"/>
  <c r="AY12" i="15" s="1"/>
  <c r="AX8" i="15"/>
  <c r="AY8" i="15" s="1"/>
  <c r="AX10" i="15"/>
  <c r="AY10" i="15" s="1"/>
  <c r="AX16" i="15"/>
  <c r="AY16" i="15" s="1"/>
  <c r="AX14" i="15"/>
  <c r="AY14" i="15" s="1"/>
  <c r="AX9" i="15"/>
  <c r="AY9" i="15" s="1"/>
  <c r="AP12" i="15"/>
  <c r="AG15" i="15"/>
  <c r="AG9" i="15"/>
  <c r="AG14" i="15"/>
  <c r="AG17" i="15"/>
  <c r="AG13" i="15"/>
  <c r="AG8" i="15"/>
  <c r="AG9" i="25"/>
  <c r="AH9" i="25" s="1"/>
  <c r="AG8" i="25"/>
  <c r="AH8" i="25" s="1"/>
  <c r="AG10" i="25"/>
  <c r="AH10" i="25" s="1"/>
  <c r="AG9" i="24"/>
  <c r="AH9" i="24" s="1"/>
  <c r="AG15" i="24"/>
  <c r="AH15" i="24" s="1"/>
  <c r="AG10" i="24"/>
  <c r="AH10" i="24" s="1"/>
  <c r="AG13" i="24"/>
  <c r="AH13" i="24" s="1"/>
  <c r="O11" i="24"/>
  <c r="P11" i="24" s="1"/>
  <c r="O9" i="24"/>
  <c r="P9" i="24" s="1"/>
  <c r="O8" i="24"/>
  <c r="P8" i="24" s="1"/>
  <c r="O15" i="24"/>
  <c r="O10" i="24"/>
  <c r="P10" i="24" s="1"/>
  <c r="O13" i="24"/>
  <c r="P13" i="24" s="1"/>
  <c r="O14" i="24"/>
  <c r="P14" i="24" s="1"/>
  <c r="O16" i="24"/>
  <c r="P16" i="24" s="1"/>
  <c r="O12" i="24"/>
  <c r="P11" i="25"/>
  <c r="X9" i="25"/>
  <c r="Y9" i="25" s="1"/>
  <c r="X8" i="25"/>
  <c r="Y8" i="25" s="1"/>
  <c r="X10" i="25"/>
  <c r="Y10" i="25" s="1"/>
  <c r="X11" i="25"/>
  <c r="Y11" i="25" s="1"/>
  <c r="AP11" i="24"/>
  <c r="AQ11" i="24" s="1"/>
  <c r="AP8" i="24"/>
  <c r="AQ8" i="24" s="1"/>
  <c r="AP13" i="24"/>
  <c r="AQ13" i="24" s="1"/>
  <c r="AP15" i="24"/>
  <c r="AQ15" i="24" s="1"/>
  <c r="AP10" i="24"/>
  <c r="AQ10" i="24" s="1"/>
  <c r="AP14" i="24"/>
  <c r="AQ14" i="24" s="1"/>
  <c r="AP12" i="24"/>
  <c r="AQ12" i="24" s="1"/>
  <c r="P15" i="24"/>
  <c r="P12" i="24"/>
  <c r="Y14" i="24"/>
  <c r="Y11" i="24"/>
  <c r="AH11" i="24"/>
  <c r="Y9" i="24"/>
  <c r="AH8" i="24"/>
  <c r="Y12" i="24"/>
  <c r="AH12" i="24"/>
  <c r="AH14" i="24"/>
  <c r="H11" i="15"/>
  <c r="I11" i="15" s="1"/>
  <c r="P11" i="15"/>
  <c r="Q11" i="15" s="1"/>
  <c r="U11" i="15"/>
  <c r="W11" i="15"/>
  <c r="AD11" i="15"/>
  <c r="AF11" i="15"/>
  <c r="AR11" i="25" l="1"/>
  <c r="AR9" i="25"/>
  <c r="AR8" i="25"/>
  <c r="AS11" i="25"/>
  <c r="AQ12" i="15"/>
  <c r="AR12" i="15" s="1"/>
  <c r="AQ17" i="15"/>
  <c r="AR17" i="15" s="1"/>
  <c r="AQ15" i="15"/>
  <c r="AR15" i="15" s="1"/>
  <c r="AS9" i="25"/>
  <c r="Q14" i="24"/>
  <c r="R14" i="24" s="1"/>
  <c r="AR16" i="26"/>
  <c r="AS16" i="26" s="1"/>
  <c r="Z20" i="26"/>
  <c r="AA20" i="26" s="1"/>
  <c r="AR9" i="26"/>
  <c r="AS9" i="26" s="1"/>
  <c r="BJ9" i="26"/>
  <c r="BK9" i="26" s="1"/>
  <c r="N30" i="26"/>
  <c r="AR20" i="26"/>
  <c r="AS20" i="26" s="1"/>
  <c r="BA10" i="26"/>
  <c r="BB10" i="26" s="1"/>
  <c r="BA8" i="26"/>
  <c r="BB8" i="26" s="1"/>
  <c r="BA17" i="26"/>
  <c r="BB17" i="26" s="1"/>
  <c r="BA14" i="26"/>
  <c r="BB14" i="26" s="1"/>
  <c r="BA19" i="26"/>
  <c r="BB19" i="26" s="1"/>
  <c r="BA15" i="26"/>
  <c r="BB15" i="26" s="1"/>
  <c r="AR12" i="26"/>
  <c r="AS12" i="26" s="1"/>
  <c r="AR30" i="26"/>
  <c r="AS30" i="26" s="1"/>
  <c r="AI10" i="26"/>
  <c r="AJ10" i="26" s="1"/>
  <c r="AI26" i="26"/>
  <c r="AJ26" i="26" s="1"/>
  <c r="AI29" i="26"/>
  <c r="AJ29" i="26" s="1"/>
  <c r="Z10" i="26"/>
  <c r="AA10" i="26" s="1"/>
  <c r="Z23" i="26"/>
  <c r="AA23" i="26" s="1"/>
  <c r="Z17" i="26"/>
  <c r="AA17" i="26" s="1"/>
  <c r="Z14" i="26"/>
  <c r="AA14" i="26" s="1"/>
  <c r="Z22" i="26"/>
  <c r="AA22" i="26" s="1"/>
  <c r="Z26" i="26"/>
  <c r="AA26" i="26" s="1"/>
  <c r="AR32" i="26"/>
  <c r="AS32" i="26" s="1"/>
  <c r="N11" i="26"/>
  <c r="AR11" i="26"/>
  <c r="AS11" i="26" s="1"/>
  <c r="N33" i="26"/>
  <c r="C33" i="26" s="1"/>
  <c r="AI21" i="26"/>
  <c r="AJ21" i="26" s="1"/>
  <c r="AI27" i="26"/>
  <c r="AJ27" i="26" s="1"/>
  <c r="AR18" i="26"/>
  <c r="AS18" i="26" s="1"/>
  <c r="AI13" i="26"/>
  <c r="AJ13" i="26" s="1"/>
  <c r="AI9" i="26"/>
  <c r="AJ9" i="26" s="1"/>
  <c r="Z8" i="26"/>
  <c r="AA8" i="26" s="1"/>
  <c r="Z31" i="26"/>
  <c r="AA31" i="26" s="1"/>
  <c r="Z19" i="26"/>
  <c r="AA19" i="26" s="1"/>
  <c r="Z15" i="26"/>
  <c r="AA15" i="26" s="1"/>
  <c r="Z29" i="26"/>
  <c r="AA29" i="26" s="1"/>
  <c r="N32" i="26"/>
  <c r="AI32" i="26"/>
  <c r="AJ32" i="26" s="1"/>
  <c r="AI11" i="26"/>
  <c r="AJ11" i="26" s="1"/>
  <c r="N21" i="26"/>
  <c r="AR21" i="26"/>
  <c r="AS21" i="26" s="1"/>
  <c r="N37" i="26"/>
  <c r="N27" i="26"/>
  <c r="AR27" i="26"/>
  <c r="AS27" i="26" s="1"/>
  <c r="N18" i="26"/>
  <c r="AI18" i="26"/>
  <c r="AJ18" i="26" s="1"/>
  <c r="N13" i="26"/>
  <c r="AR13" i="26"/>
  <c r="AS13" i="26" s="1"/>
  <c r="N9" i="26"/>
  <c r="BA12" i="26"/>
  <c r="BB12" i="26" s="1"/>
  <c r="BA20" i="26"/>
  <c r="BB20" i="26" s="1"/>
  <c r="AI28" i="26"/>
  <c r="AJ28" i="26" s="1"/>
  <c r="AI25" i="26"/>
  <c r="AJ25" i="26" s="1"/>
  <c r="AI16" i="26"/>
  <c r="AJ16" i="26" s="1"/>
  <c r="AI24" i="26"/>
  <c r="AJ24" i="26" s="1"/>
  <c r="AR28" i="26"/>
  <c r="AS28" i="26" s="1"/>
  <c r="BJ12" i="26"/>
  <c r="BK12" i="26" s="1"/>
  <c r="AR25" i="26"/>
  <c r="AS25" i="26" s="1"/>
  <c r="Z34" i="26"/>
  <c r="AA34" i="26" s="1"/>
  <c r="Z28" i="26"/>
  <c r="AA28" i="26" s="1"/>
  <c r="AI12" i="26"/>
  <c r="AJ12" i="26" s="1"/>
  <c r="Z25" i="26"/>
  <c r="AA25" i="26" s="1"/>
  <c r="AI30" i="26"/>
  <c r="AJ30" i="26" s="1"/>
  <c r="AR10" i="26"/>
  <c r="AS10" i="26" s="1"/>
  <c r="AR23" i="26"/>
  <c r="AS23" i="26" s="1"/>
  <c r="AR8" i="26"/>
  <c r="AS8" i="26" s="1"/>
  <c r="AR17" i="26"/>
  <c r="AS17" i="26" s="1"/>
  <c r="AR31" i="26"/>
  <c r="AS31" i="26" s="1"/>
  <c r="AR14" i="26"/>
  <c r="AS14" i="26" s="1"/>
  <c r="AR19" i="26"/>
  <c r="AS19" i="26" s="1"/>
  <c r="AR22" i="26"/>
  <c r="AS22" i="26" s="1"/>
  <c r="AR15" i="26"/>
  <c r="AS15" i="26" s="1"/>
  <c r="AR26" i="26"/>
  <c r="AS26" i="26" s="1"/>
  <c r="AR29" i="26"/>
  <c r="AS29" i="26" s="1"/>
  <c r="N28" i="26"/>
  <c r="N25" i="26"/>
  <c r="N16" i="26"/>
  <c r="N24" i="26"/>
  <c r="N35" i="26"/>
  <c r="C35" i="26" s="1"/>
  <c r="Z12" i="26"/>
  <c r="AA12" i="26" s="1"/>
  <c r="Z30" i="26"/>
  <c r="AA30" i="26" s="1"/>
  <c r="N34" i="26"/>
  <c r="AI34" i="26"/>
  <c r="AJ34" i="26" s="1"/>
  <c r="Z16" i="26"/>
  <c r="AA16" i="26" s="1"/>
  <c r="AR24" i="26"/>
  <c r="AS24" i="26" s="1"/>
  <c r="BJ20" i="26"/>
  <c r="BK20" i="26" s="1"/>
  <c r="BA16" i="26"/>
  <c r="BB16" i="26" s="1"/>
  <c r="N20" i="26"/>
  <c r="N10" i="26"/>
  <c r="N23" i="26"/>
  <c r="N8" i="26"/>
  <c r="N17" i="26"/>
  <c r="N31" i="26"/>
  <c r="N14" i="26"/>
  <c r="N19" i="26"/>
  <c r="N22" i="26"/>
  <c r="N15" i="26"/>
  <c r="N26" i="26"/>
  <c r="N29" i="26"/>
  <c r="AR34" i="26"/>
  <c r="AS34" i="26" s="1"/>
  <c r="BJ16" i="26"/>
  <c r="BK16" i="26" s="1"/>
  <c r="Z24" i="26"/>
  <c r="AA24" i="26" s="1"/>
  <c r="AI20" i="26"/>
  <c r="AJ20" i="26" s="1"/>
  <c r="AI23" i="26"/>
  <c r="AJ23" i="26" s="1"/>
  <c r="AI8" i="26"/>
  <c r="AJ8" i="26" s="1"/>
  <c r="AI17" i="26"/>
  <c r="AJ17" i="26" s="1"/>
  <c r="AI31" i="26"/>
  <c r="AJ31" i="26" s="1"/>
  <c r="AI14" i="26"/>
  <c r="AJ14" i="26" s="1"/>
  <c r="AI19" i="26"/>
  <c r="AJ19" i="26" s="1"/>
  <c r="AI22" i="26"/>
  <c r="AJ22" i="26" s="1"/>
  <c r="AI15" i="26"/>
  <c r="AJ15" i="26" s="1"/>
  <c r="BJ10" i="26"/>
  <c r="BK10" i="26" s="1"/>
  <c r="BJ17" i="26"/>
  <c r="BK17" i="26" s="1"/>
  <c r="BJ14" i="26"/>
  <c r="BK14" i="26" s="1"/>
  <c r="Z11" i="26"/>
  <c r="AA11" i="26" s="1"/>
  <c r="BJ11" i="26"/>
  <c r="BK11" i="26" s="1"/>
  <c r="BA21" i="26"/>
  <c r="BB21" i="26" s="1"/>
  <c r="BA18" i="26"/>
  <c r="BB18" i="26" s="1"/>
  <c r="BA13" i="26"/>
  <c r="BB13" i="26" s="1"/>
  <c r="BA9" i="26"/>
  <c r="BB9" i="26" s="1"/>
  <c r="BJ8" i="26"/>
  <c r="BK8" i="26" s="1"/>
  <c r="BJ19" i="26"/>
  <c r="BK19" i="26" s="1"/>
  <c r="BJ15" i="26"/>
  <c r="BK15" i="26" s="1"/>
  <c r="Z32" i="26"/>
  <c r="AA32" i="26" s="1"/>
  <c r="BA11" i="26"/>
  <c r="BB11" i="26" s="1"/>
  <c r="Z21" i="26"/>
  <c r="AA21" i="26" s="1"/>
  <c r="BJ21" i="26"/>
  <c r="BK21" i="26" s="1"/>
  <c r="Z27" i="26"/>
  <c r="AA27" i="26" s="1"/>
  <c r="Z18" i="26"/>
  <c r="AA18" i="26" s="1"/>
  <c r="BJ18" i="26"/>
  <c r="BK18" i="26" s="1"/>
  <c r="Z13" i="26"/>
  <c r="AA13" i="26" s="1"/>
  <c r="BJ13" i="26"/>
  <c r="BK13" i="26" s="1"/>
  <c r="Z9" i="26"/>
  <c r="AA9" i="26" s="1"/>
  <c r="AQ18" i="15"/>
  <c r="AR18" i="15" s="1"/>
  <c r="AQ13" i="15"/>
  <c r="AR13" i="15" s="1"/>
  <c r="M11" i="15"/>
  <c r="N36" i="26"/>
  <c r="C36" i="26" s="1"/>
  <c r="BI9" i="15"/>
  <c r="BJ9" i="15" s="1"/>
  <c r="BI16" i="15"/>
  <c r="BJ16" i="15" s="1"/>
  <c r="BI8" i="15"/>
  <c r="BJ8" i="15" s="1"/>
  <c r="BI13" i="15"/>
  <c r="BJ13" i="15" s="1"/>
  <c r="BI14" i="15"/>
  <c r="BJ14" i="15" s="1"/>
  <c r="BI10" i="15"/>
  <c r="BJ10" i="15" s="1"/>
  <c r="BI12" i="15"/>
  <c r="BJ12" i="15" s="1"/>
  <c r="BI17" i="15"/>
  <c r="BJ17" i="15" s="1"/>
  <c r="BI15" i="15"/>
  <c r="BJ15" i="15" s="1"/>
  <c r="BI11" i="15"/>
  <c r="BJ11" i="15" s="1"/>
  <c r="AZ14" i="15"/>
  <c r="BA14" i="15" s="1"/>
  <c r="AZ10" i="15"/>
  <c r="BA10" i="15" s="1"/>
  <c r="AZ9" i="15"/>
  <c r="BA9" i="15" s="1"/>
  <c r="AZ16" i="15"/>
  <c r="BA16" i="15" s="1"/>
  <c r="AZ8" i="15"/>
  <c r="BA8" i="15" s="1"/>
  <c r="AZ12" i="15"/>
  <c r="BA12" i="15" s="1"/>
  <c r="AZ17" i="15"/>
  <c r="BA17" i="15" s="1"/>
  <c r="AZ15" i="15"/>
  <c r="BA15" i="15" s="1"/>
  <c r="AZ11" i="15"/>
  <c r="BA11" i="15" s="1"/>
  <c r="AZ13" i="15"/>
  <c r="BA13" i="15" s="1"/>
  <c r="AZ18" i="15"/>
  <c r="BA18" i="15" s="1"/>
  <c r="AQ11" i="15"/>
  <c r="AR11" i="15" s="1"/>
  <c r="AQ9" i="15"/>
  <c r="AR9" i="15" s="1"/>
  <c r="AQ14" i="15"/>
  <c r="AR14" i="15" s="1"/>
  <c r="AQ16" i="15"/>
  <c r="AR16" i="15" s="1"/>
  <c r="AQ10" i="15"/>
  <c r="AR10" i="15" s="1"/>
  <c r="AQ8" i="15"/>
  <c r="AR8" i="15" s="1"/>
  <c r="Q15" i="24"/>
  <c r="R15" i="24" s="1"/>
  <c r="Z12" i="24"/>
  <c r="AA12" i="24" s="1"/>
  <c r="Z11" i="25"/>
  <c r="AA11" i="25" s="1"/>
  <c r="Z9" i="25"/>
  <c r="AA9" i="25" s="1"/>
  <c r="Z10" i="25"/>
  <c r="AA10" i="25" s="1"/>
  <c r="Z8" i="25"/>
  <c r="AA8" i="25" s="1"/>
  <c r="AI11" i="25"/>
  <c r="AJ11" i="25" s="1"/>
  <c r="AI10" i="25"/>
  <c r="AJ10" i="25" s="1"/>
  <c r="AI8" i="25"/>
  <c r="AJ8" i="25" s="1"/>
  <c r="AI9" i="25"/>
  <c r="AJ9" i="25" s="1"/>
  <c r="Q11" i="25"/>
  <c r="R11" i="25" s="1"/>
  <c r="Q10" i="25"/>
  <c r="R10" i="25" s="1"/>
  <c r="Q8" i="25"/>
  <c r="R8" i="25" s="1"/>
  <c r="Q9" i="25"/>
  <c r="R9" i="25" s="1"/>
  <c r="AR10" i="25"/>
  <c r="AS10" i="25" s="1"/>
  <c r="AS8" i="25"/>
  <c r="AR12" i="24"/>
  <c r="AS12" i="24" s="1"/>
  <c r="AR10" i="24"/>
  <c r="AS10" i="24" s="1"/>
  <c r="AR11" i="24"/>
  <c r="AS11" i="24" s="1"/>
  <c r="AR9" i="24"/>
  <c r="AS9" i="24" s="1"/>
  <c r="AR13" i="24"/>
  <c r="AS13" i="24" s="1"/>
  <c r="AR8" i="24"/>
  <c r="AS8" i="24" s="1"/>
  <c r="AR14" i="24"/>
  <c r="AS14" i="24" s="1"/>
  <c r="AR15" i="24"/>
  <c r="AS15" i="24" s="1"/>
  <c r="Z14" i="24"/>
  <c r="AA14" i="24" s="1"/>
  <c r="Q12" i="24"/>
  <c r="R12" i="24" s="1"/>
  <c r="Q11" i="24"/>
  <c r="R11" i="24" s="1"/>
  <c r="Z15" i="24"/>
  <c r="AA15" i="24" s="1"/>
  <c r="Z13" i="24"/>
  <c r="AA13" i="24" s="1"/>
  <c r="Z9" i="24"/>
  <c r="AA9" i="24" s="1"/>
  <c r="Q16" i="24"/>
  <c r="R16" i="24" s="1"/>
  <c r="C16" i="24" s="1"/>
  <c r="Q13" i="24"/>
  <c r="R13" i="24" s="1"/>
  <c r="Q8" i="24"/>
  <c r="R8" i="24" s="1"/>
  <c r="Q10" i="24"/>
  <c r="R10" i="24" s="1"/>
  <c r="Q9" i="24"/>
  <c r="R9" i="24" s="1"/>
  <c r="Z8" i="24"/>
  <c r="AA8" i="24" s="1"/>
  <c r="Z10" i="24"/>
  <c r="AA10" i="24" s="1"/>
  <c r="Z11" i="24"/>
  <c r="AA11" i="24" s="1"/>
  <c r="AI12" i="24"/>
  <c r="AJ12" i="24" s="1"/>
  <c r="AI13" i="24"/>
  <c r="AJ13" i="24" s="1"/>
  <c r="AI15" i="24"/>
  <c r="AJ15" i="24" s="1"/>
  <c r="AI8" i="24"/>
  <c r="AJ8" i="24" s="1"/>
  <c r="AI9" i="24"/>
  <c r="AJ9" i="24" s="1"/>
  <c r="AI11" i="24"/>
  <c r="AJ11" i="24" s="1"/>
  <c r="AI14" i="24"/>
  <c r="AJ14" i="24" s="1"/>
  <c r="AI10" i="24"/>
  <c r="AJ10" i="24" s="1"/>
  <c r="AG11" i="15"/>
  <c r="X11" i="15"/>
  <c r="C26" i="26" l="1"/>
  <c r="C12" i="26"/>
  <c r="C10" i="25"/>
  <c r="C11" i="25"/>
  <c r="C12" i="24"/>
  <c r="C28" i="26"/>
  <c r="C13" i="24"/>
  <c r="C14" i="26"/>
  <c r="C23" i="26"/>
  <c r="C29" i="26"/>
  <c r="C19" i="26"/>
  <c r="C8" i="26"/>
  <c r="C10" i="26"/>
  <c r="C34" i="26"/>
  <c r="C15" i="26"/>
  <c r="C31" i="26"/>
  <c r="C24" i="26"/>
  <c r="C25" i="26"/>
  <c r="C30" i="26"/>
  <c r="C9" i="26"/>
  <c r="C13" i="26"/>
  <c r="C18" i="26"/>
  <c r="C27" i="26"/>
  <c r="C37" i="26"/>
  <c r="C21" i="26"/>
  <c r="C22" i="26"/>
  <c r="C17" i="26"/>
  <c r="C20" i="26"/>
  <c r="C16" i="26"/>
  <c r="C32" i="26"/>
  <c r="C11" i="26"/>
  <c r="C8" i="25"/>
  <c r="C9" i="25"/>
  <c r="C10" i="24"/>
  <c r="C15" i="24"/>
  <c r="C9" i="24"/>
  <c r="C8" i="24"/>
  <c r="C11" i="24"/>
  <c r="C14" i="24"/>
  <c r="Y12" i="15"/>
  <c r="Z12" i="15" s="1"/>
  <c r="Y16" i="15"/>
  <c r="Z16" i="15" s="1"/>
  <c r="Y10" i="15"/>
  <c r="Z10" i="15" s="1"/>
  <c r="Y8" i="15"/>
  <c r="Z8" i="15" s="1"/>
  <c r="Y14" i="15"/>
  <c r="Z14" i="15" s="1"/>
  <c r="Y9" i="15"/>
  <c r="Z9" i="15" s="1"/>
  <c r="Y17" i="15"/>
  <c r="Z17" i="15" s="1"/>
  <c r="Y13" i="15"/>
  <c r="Z13" i="15" s="1"/>
  <c r="Y15" i="15"/>
  <c r="Z15" i="15" s="1"/>
  <c r="Y18" i="15"/>
  <c r="Z18" i="15" s="1"/>
  <c r="AH14" i="15"/>
  <c r="AI14" i="15" s="1"/>
  <c r="AH9" i="15"/>
  <c r="AI9" i="15" s="1"/>
  <c r="AH16" i="15"/>
  <c r="AI16" i="15" s="1"/>
  <c r="AH10" i="15"/>
  <c r="AI10" i="15" s="1"/>
  <c r="AH8" i="15"/>
  <c r="AI8" i="15" s="1"/>
  <c r="AH17" i="15"/>
  <c r="AI17" i="15" s="1"/>
  <c r="AH13" i="15"/>
  <c r="AI13" i="15" s="1"/>
  <c r="AH15" i="15"/>
  <c r="AI15" i="15" s="1"/>
  <c r="AH18" i="15"/>
  <c r="AI18" i="15" s="1"/>
  <c r="AH12" i="15"/>
  <c r="AI12" i="15" s="1"/>
  <c r="Y11" i="15"/>
  <c r="Z11" i="15" s="1"/>
  <c r="AH11" i="15"/>
  <c r="AI11" i="15" s="1"/>
  <c r="B21" i="26" l="1"/>
  <c r="B19" i="26"/>
  <c r="B23" i="26"/>
  <c r="B33" i="26"/>
  <c r="B20" i="26"/>
  <c r="B8" i="26"/>
  <c r="B15" i="26"/>
  <c r="B13" i="26"/>
  <c r="B26" i="26"/>
  <c r="B12" i="26"/>
  <c r="B27" i="26"/>
  <c r="B28" i="26"/>
  <c r="B14" i="26"/>
  <c r="B30" i="26"/>
  <c r="B24" i="26"/>
  <c r="B11" i="26"/>
  <c r="B16" i="26"/>
  <c r="B17" i="26"/>
  <c r="B29" i="26"/>
  <c r="B32" i="26"/>
  <c r="B37" i="26"/>
  <c r="B18" i="26"/>
  <c r="B9" i="26"/>
  <c r="B35" i="26"/>
  <c r="B22" i="26"/>
  <c r="B36" i="26"/>
  <c r="B34" i="26"/>
  <c r="B10" i="26"/>
  <c r="B31" i="26"/>
  <c r="C18" i="15"/>
  <c r="C13" i="15"/>
  <c r="C8" i="15"/>
  <c r="C16" i="15"/>
  <c r="C9" i="15"/>
  <c r="C11" i="15"/>
  <c r="C15" i="15"/>
  <c r="C17" i="15"/>
  <c r="C14" i="15"/>
  <c r="C10" i="15"/>
  <c r="C12" i="15"/>
  <c r="B10" i="25"/>
  <c r="B8" i="25"/>
  <c r="B12" i="24"/>
  <c r="B9" i="24"/>
  <c r="B10" i="24"/>
  <c r="B8" i="24"/>
  <c r="B13" i="24"/>
  <c r="B16" i="24"/>
  <c r="B11" i="24"/>
  <c r="B15" i="24"/>
  <c r="B14" i="24"/>
  <c r="B9" i="15" l="1"/>
  <c r="B8" i="15"/>
  <c r="B12" i="15"/>
  <c r="B11" i="15"/>
  <c r="B17" i="15"/>
  <c r="B15" i="15"/>
  <c r="B18" i="15"/>
  <c r="B13" i="15"/>
  <c r="B16" i="15"/>
  <c r="B14" i="15"/>
</calcChain>
</file>

<file path=xl/sharedStrings.xml><?xml version="1.0" encoding="utf-8"?>
<sst xmlns="http://schemas.openxmlformats.org/spreadsheetml/2006/main" count="354" uniqueCount="117">
  <si>
    <t>100-бальная система</t>
  </si>
  <si>
    <t>50-бальная система</t>
  </si>
  <si>
    <t>место</t>
  </si>
  <si>
    <t>баллы</t>
  </si>
  <si>
    <t>Итоговый результат</t>
  </si>
  <si>
    <t>Задание 2
100 баллов</t>
  </si>
  <si>
    <t>Задание 3
100 баллов</t>
  </si>
  <si>
    <t>Задание 4
100 баллов</t>
  </si>
  <si>
    <t>Итоговое место</t>
  </si>
  <si>
    <t>Сумма баллов</t>
  </si>
  <si>
    <t>ФИО</t>
  </si>
  <si>
    <t>Мин</t>
  </si>
  <si>
    <t>Сек</t>
  </si>
  <si>
    <t>Время</t>
  </si>
  <si>
    <t>Место</t>
  </si>
  <si>
    <t>Баллы</t>
  </si>
  <si>
    <t>Повторения</t>
  </si>
  <si>
    <t>Штраф</t>
  </si>
  <si>
    <t>Задание 1
100 баллов</t>
  </si>
  <si>
    <t>Вес</t>
  </si>
  <si>
    <t>9 минут</t>
  </si>
  <si>
    <t>Андреев Антон</t>
  </si>
  <si>
    <t>Левин Андрей</t>
  </si>
  <si>
    <t>Шкляев Алексей</t>
  </si>
  <si>
    <t>Женщины</t>
  </si>
  <si>
    <t>Участники</t>
  </si>
  <si>
    <t>Задание 1.1
100 баллов</t>
  </si>
  <si>
    <t>Задание 1.2
100 баллов</t>
  </si>
  <si>
    <t>12 минут</t>
  </si>
  <si>
    <t>8 минут</t>
  </si>
  <si>
    <t>6 минут</t>
  </si>
  <si>
    <t>Дворянчиков/Пашков</t>
  </si>
  <si>
    <t>Казанкова/Морозов</t>
  </si>
  <si>
    <t>Аникиев/Данилов</t>
  </si>
  <si>
    <t>Меркулова/Меркулов</t>
  </si>
  <si>
    <t>Пикулик/Федечкина</t>
  </si>
  <si>
    <t>Спиваченко/Купцов</t>
  </si>
  <si>
    <t>Холина/Маху</t>
  </si>
  <si>
    <t>Куранов/Соколов</t>
  </si>
  <si>
    <t>Унгуряну/Гончаренко</t>
  </si>
  <si>
    <t>Белорусов/Аверьянов</t>
  </si>
  <si>
    <t>Андреевская/Гусева</t>
  </si>
  <si>
    <t>Клюшкина/Карасев</t>
  </si>
  <si>
    <t>Задание 5
100 баллов</t>
  </si>
  <si>
    <t>Задание 6
100 баллов</t>
  </si>
  <si>
    <t>Задание 7
100 баллов</t>
  </si>
  <si>
    <t>Задание 8
100 баллов</t>
  </si>
  <si>
    <t>Мужчины</t>
  </si>
  <si>
    <t>Нам Мария</t>
  </si>
  <si>
    <t>Гарифова Ульяна</t>
  </si>
  <si>
    <t>Барышникова Дарья</t>
  </si>
  <si>
    <t>Рыжонкова Анна</t>
  </si>
  <si>
    <t>Додонова Анастасия</t>
  </si>
  <si>
    <t>Бадаева Мария</t>
  </si>
  <si>
    <t>Дождева Кристина</t>
  </si>
  <si>
    <t>Вахромова Ирина</t>
  </si>
  <si>
    <t>Алимова Любовь</t>
  </si>
  <si>
    <t>Иванова Анна</t>
  </si>
  <si>
    <t>Фунтикова Ирина</t>
  </si>
  <si>
    <t>Лысяной Сергей</t>
  </si>
  <si>
    <t>Баширов Марат</t>
  </si>
  <si>
    <t>Михайлов Андрей</t>
  </si>
  <si>
    <t>Иванов Игорь</t>
  </si>
  <si>
    <t>Елизаров Николай</t>
  </si>
  <si>
    <t>Соловьёв Владимир</t>
  </si>
  <si>
    <t>Филимонов Яков</t>
  </si>
  <si>
    <t>Апрельский Артём</t>
  </si>
  <si>
    <t>Сечин Владимир</t>
  </si>
  <si>
    <t>Межов Роман</t>
  </si>
  <si>
    <t>Тихонов Алексей</t>
  </si>
  <si>
    <t>Степанов Виталий</t>
  </si>
  <si>
    <t>Бычков Станислав</t>
  </si>
  <si>
    <t>Орлов Михаил</t>
  </si>
  <si>
    <t>Гриценко Сергей</t>
  </si>
  <si>
    <t>Дробинин Павел</t>
  </si>
  <si>
    <t>Вахромов Александр</t>
  </si>
  <si>
    <t>Читишвили Бадри</t>
  </si>
  <si>
    <t>Салманов Александр</t>
  </si>
  <si>
    <t>Касторный Александр</t>
  </si>
  <si>
    <t>Баландин Виталий</t>
  </si>
  <si>
    <t>Мазей Владимир</t>
  </si>
  <si>
    <t>Просянюк Александр</t>
  </si>
  <si>
    <t>Харченко Дмитрий</t>
  </si>
  <si>
    <t>Федотов Андрей</t>
  </si>
  <si>
    <t>Юньков Вадим</t>
  </si>
  <si>
    <t>3 минуты</t>
  </si>
  <si>
    <t>Задание 9
100 баллов</t>
  </si>
  <si>
    <t>5 минут</t>
  </si>
  <si>
    <t>dns</t>
  </si>
  <si>
    <t>Шафоростова/Акиндинова</t>
  </si>
  <si>
    <t>0:18:13.9</t>
  </si>
  <si>
    <t>0:18:20.9</t>
  </si>
  <si>
    <t>0:17:51.0</t>
  </si>
  <si>
    <t>0:17:19.9</t>
  </si>
  <si>
    <t>0:18:49.7</t>
  </si>
  <si>
    <t>0:18:16.7</t>
  </si>
  <si>
    <t>0:18:41.5</t>
  </si>
  <si>
    <t>0:18:08.4</t>
  </si>
  <si>
    <t>0:18:34.9</t>
  </si>
  <si>
    <t>0:18:20.3</t>
  </si>
  <si>
    <t>0:17:20.4</t>
  </si>
  <si>
    <t>0:18:21.0</t>
  </si>
  <si>
    <t>0:17:34.8</t>
  </si>
  <si>
    <t>0:17:49.5</t>
  </si>
  <si>
    <t>0:17:43.5</t>
  </si>
  <si>
    <t>0:18:30.7</t>
  </si>
  <si>
    <t>0:17:19.5</t>
  </si>
  <si>
    <t>0:18:04.6</t>
  </si>
  <si>
    <t>0:18:36.2</t>
  </si>
  <si>
    <t>0:17:44.4</t>
  </si>
  <si>
    <t>0:18:10.3</t>
  </si>
  <si>
    <t>0:18:25.4</t>
  </si>
  <si>
    <t>dnf</t>
  </si>
  <si>
    <t>Кулиев Ильяс</t>
  </si>
  <si>
    <t>Команда
13-15/35-45</t>
  </si>
  <si>
    <t>Команда
16-18/46-55</t>
  </si>
  <si>
    <t>дискв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</si>
</sst>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8" x14ac:knownFonts="1">
    <font>
      <sz val="11"/>
      <color rgb="FF000000"/>
      <name val="Calibri"/>
    </font>
    <font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10"/>
      <color rgb="FF000000"/>
      <name val="Calibri"/>
      <family val="2"/>
      <charset val="204"/>
    </font>
    <font>
      <i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000000"/>
        <bgColor rgb="FF000000"/>
      </patternFill>
    </fill>
    <fill>
      <patternFill patternType="solid">
        <fgColor rgb="FFD8D8D8"/>
        <bgColor rgb="FFD8D8D8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9CC2E5"/>
        <bgColor rgb="FF9CC2E5"/>
      </patternFill>
    </fill>
    <fill>
      <patternFill patternType="solid">
        <fgColor theme="0" tint="-4.9989318521683403E-2"/>
        <bgColor rgb="FFF2F2F2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4"/>
  </cellStyleXfs>
  <cellXfs count="32">
    <xf numFmtId="0" fontId="0" fillId="0" borderId="0" xfId="0" applyFont="1" applyAlignment="1"/>
    <xf numFmtId="0" fontId="0" fillId="3" borderId="3" xfId="0" applyFont="1" applyFill="1" applyBorder="1"/>
    <xf numFmtId="0" fontId="0" fillId="4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Font="1" applyBorder="1"/>
    <xf numFmtId="0" fontId="7" fillId="5" borderId="4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 wrapText="1"/>
    </xf>
    <xf numFmtId="164" fontId="0" fillId="0" borderId="0" xfId="0" applyNumberFormat="1" applyFont="1" applyAlignment="1"/>
    <xf numFmtId="0" fontId="4" fillId="8" borderId="5" xfId="0" applyFont="1" applyFill="1" applyBorder="1" applyAlignment="1">
      <alignment horizontal="center" vertical="center"/>
    </xf>
    <xf numFmtId="0" fontId="5" fillId="0" borderId="5" xfId="0" applyFont="1" applyBorder="1"/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Alignment="1"/>
    <xf numFmtId="0" fontId="1" fillId="0" borderId="5" xfId="0" applyFont="1" applyBorder="1"/>
    <xf numFmtId="164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2" fillId="7" borderId="5" xfId="0" applyFont="1" applyFill="1" applyBorder="1" applyAlignment="1">
      <alignment horizontal="center" vertical="center" wrapText="1"/>
    </xf>
    <xf numFmtId="0" fontId="1" fillId="0" borderId="5" xfId="0" applyFont="1" applyBorder="1"/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0"/>
  <sheetViews>
    <sheetView workbookViewId="0">
      <selection activeCell="K29" sqref="K29"/>
    </sheetView>
  </sheetViews>
  <sheetFormatPr defaultColWidth="14.42578125" defaultRowHeight="15" customHeight="1" x14ac:dyDescent="0.25"/>
  <cols>
    <col min="1" max="2" width="8.7109375" customWidth="1"/>
    <col min="3" max="3" width="1.42578125" customWidth="1"/>
    <col min="4" max="11" width="8.7109375" customWidth="1"/>
  </cols>
  <sheetData>
    <row r="1" spans="1:5" x14ac:dyDescent="0.25">
      <c r="A1" s="22" t="s">
        <v>0</v>
      </c>
      <c r="B1" s="23"/>
      <c r="C1" s="1"/>
      <c r="D1" s="22" t="s">
        <v>1</v>
      </c>
      <c r="E1" s="23"/>
    </row>
    <row r="2" spans="1:5" x14ac:dyDescent="0.25">
      <c r="A2" s="2" t="s">
        <v>2</v>
      </c>
      <c r="B2" s="2" t="s">
        <v>3</v>
      </c>
      <c r="C2" s="1"/>
      <c r="D2" s="2" t="s">
        <v>2</v>
      </c>
      <c r="E2" s="2" t="s">
        <v>3</v>
      </c>
    </row>
    <row r="3" spans="1:5" x14ac:dyDescent="0.25">
      <c r="A3" s="3">
        <v>1</v>
      </c>
      <c r="B3" s="3">
        <v>100</v>
      </c>
      <c r="C3" s="1"/>
      <c r="D3" s="3">
        <v>1</v>
      </c>
      <c r="E3" s="3">
        <v>50</v>
      </c>
    </row>
    <row r="4" spans="1:5" x14ac:dyDescent="0.25">
      <c r="A4" s="3">
        <v>2</v>
      </c>
      <c r="B4" s="3">
        <v>95</v>
      </c>
      <c r="C4" s="1"/>
      <c r="D4" s="3">
        <v>2</v>
      </c>
      <c r="E4" s="3">
        <v>48</v>
      </c>
    </row>
    <row r="5" spans="1:5" x14ac:dyDescent="0.25">
      <c r="A5" s="3">
        <v>3</v>
      </c>
      <c r="B5" s="3">
        <v>90</v>
      </c>
      <c r="C5" s="1"/>
      <c r="D5" s="3">
        <v>3</v>
      </c>
      <c r="E5" s="3">
        <v>46</v>
      </c>
    </row>
    <row r="6" spans="1:5" x14ac:dyDescent="0.25">
      <c r="A6" s="3">
        <v>4</v>
      </c>
      <c r="B6" s="3">
        <v>85</v>
      </c>
      <c r="C6" s="1"/>
      <c r="D6" s="3">
        <v>4</v>
      </c>
      <c r="E6" s="3">
        <v>44</v>
      </c>
    </row>
    <row r="7" spans="1:5" x14ac:dyDescent="0.25">
      <c r="A7" s="3">
        <v>5</v>
      </c>
      <c r="B7" s="3">
        <v>80</v>
      </c>
      <c r="C7" s="1"/>
      <c r="D7" s="3">
        <v>5</v>
      </c>
      <c r="E7" s="3">
        <v>42</v>
      </c>
    </row>
    <row r="8" spans="1:5" x14ac:dyDescent="0.25">
      <c r="A8" s="3">
        <v>6</v>
      </c>
      <c r="B8" s="3">
        <v>75</v>
      </c>
      <c r="C8" s="1"/>
      <c r="D8" s="3">
        <v>6</v>
      </c>
      <c r="E8" s="3">
        <v>41</v>
      </c>
    </row>
    <row r="9" spans="1:5" x14ac:dyDescent="0.25">
      <c r="A9" s="3">
        <v>7</v>
      </c>
      <c r="B9" s="3">
        <v>73</v>
      </c>
      <c r="C9" s="1"/>
      <c r="D9" s="3">
        <v>7</v>
      </c>
      <c r="E9" s="3">
        <v>40</v>
      </c>
    </row>
    <row r="10" spans="1:5" x14ac:dyDescent="0.25">
      <c r="A10" s="3">
        <v>8</v>
      </c>
      <c r="B10" s="3">
        <v>71</v>
      </c>
      <c r="C10" s="1"/>
      <c r="D10" s="3">
        <v>8</v>
      </c>
      <c r="E10" s="3">
        <v>39</v>
      </c>
    </row>
    <row r="11" spans="1:5" x14ac:dyDescent="0.25">
      <c r="A11" s="3">
        <v>9</v>
      </c>
      <c r="B11" s="3">
        <v>69</v>
      </c>
      <c r="C11" s="1"/>
      <c r="D11" s="3">
        <v>9</v>
      </c>
      <c r="E11" s="3">
        <v>38</v>
      </c>
    </row>
    <row r="12" spans="1:5" x14ac:dyDescent="0.25">
      <c r="A12" s="3">
        <v>10</v>
      </c>
      <c r="B12" s="3">
        <v>67</v>
      </c>
      <c r="C12" s="1"/>
      <c r="D12" s="3">
        <v>10</v>
      </c>
      <c r="E12" s="3">
        <v>37</v>
      </c>
    </row>
    <row r="13" spans="1:5" x14ac:dyDescent="0.25">
      <c r="A13" s="3">
        <v>11</v>
      </c>
      <c r="B13" s="3">
        <v>65</v>
      </c>
      <c r="C13" s="1"/>
      <c r="D13" s="3">
        <v>11</v>
      </c>
      <c r="E13" s="3">
        <v>36</v>
      </c>
    </row>
    <row r="14" spans="1:5" x14ac:dyDescent="0.25">
      <c r="A14" s="3">
        <v>12</v>
      </c>
      <c r="B14" s="3">
        <v>63</v>
      </c>
      <c r="C14" s="1"/>
      <c r="D14" s="3">
        <v>12</v>
      </c>
      <c r="E14" s="3">
        <v>35</v>
      </c>
    </row>
    <row r="15" spans="1:5" x14ac:dyDescent="0.25">
      <c r="A15" s="3">
        <v>13</v>
      </c>
      <c r="B15" s="3">
        <v>61</v>
      </c>
      <c r="C15" s="1"/>
      <c r="D15" s="3">
        <v>13</v>
      </c>
      <c r="E15" s="3">
        <v>34</v>
      </c>
    </row>
    <row r="16" spans="1:5" x14ac:dyDescent="0.25">
      <c r="A16" s="3">
        <v>14</v>
      </c>
      <c r="B16" s="3">
        <v>59</v>
      </c>
      <c r="C16" s="1"/>
      <c r="D16" s="3">
        <v>14</v>
      </c>
      <c r="E16" s="3">
        <v>33</v>
      </c>
    </row>
    <row r="17" spans="1:5" x14ac:dyDescent="0.25">
      <c r="A17" s="3">
        <v>15</v>
      </c>
      <c r="B17" s="3">
        <v>57</v>
      </c>
      <c r="C17" s="1"/>
      <c r="D17" s="3">
        <v>15</v>
      </c>
      <c r="E17" s="3">
        <v>32</v>
      </c>
    </row>
    <row r="18" spans="1:5" x14ac:dyDescent="0.25">
      <c r="A18" s="3">
        <v>16</v>
      </c>
      <c r="B18" s="3">
        <v>55</v>
      </c>
      <c r="C18" s="1"/>
      <c r="D18" s="3">
        <v>16</v>
      </c>
      <c r="E18" s="3">
        <v>31</v>
      </c>
    </row>
    <row r="19" spans="1:5" x14ac:dyDescent="0.25">
      <c r="A19" s="3">
        <v>17</v>
      </c>
      <c r="B19" s="3">
        <v>53</v>
      </c>
      <c r="C19" s="1"/>
      <c r="D19" s="3">
        <v>17</v>
      </c>
      <c r="E19" s="3">
        <v>30</v>
      </c>
    </row>
    <row r="20" spans="1:5" x14ac:dyDescent="0.25">
      <c r="A20" s="3">
        <v>18</v>
      </c>
      <c r="B20" s="3">
        <v>51</v>
      </c>
      <c r="C20" s="1"/>
      <c r="D20" s="3">
        <v>18</v>
      </c>
      <c r="E20" s="3">
        <v>29</v>
      </c>
    </row>
    <row r="21" spans="1:5" ht="15.75" customHeight="1" x14ac:dyDescent="0.25">
      <c r="A21" s="3">
        <v>19</v>
      </c>
      <c r="B21" s="3">
        <v>49</v>
      </c>
      <c r="C21" s="1"/>
      <c r="D21" s="3">
        <v>19</v>
      </c>
      <c r="E21" s="3">
        <v>28</v>
      </c>
    </row>
    <row r="22" spans="1:5" ht="15.75" customHeight="1" x14ac:dyDescent="0.25">
      <c r="A22" s="3">
        <v>20</v>
      </c>
      <c r="B22" s="3">
        <v>47</v>
      </c>
      <c r="C22" s="1"/>
      <c r="D22" s="3">
        <v>20</v>
      </c>
      <c r="E22" s="3">
        <v>27</v>
      </c>
    </row>
    <row r="23" spans="1:5" ht="15.75" customHeight="1" x14ac:dyDescent="0.25">
      <c r="A23" s="3">
        <v>21</v>
      </c>
      <c r="B23" s="3">
        <v>45</v>
      </c>
      <c r="C23" s="1"/>
      <c r="D23" s="3">
        <v>21</v>
      </c>
      <c r="E23" s="3">
        <v>26</v>
      </c>
    </row>
    <row r="24" spans="1:5" ht="15.75" customHeight="1" x14ac:dyDescent="0.25">
      <c r="A24" s="3">
        <v>22</v>
      </c>
      <c r="B24" s="3">
        <v>43</v>
      </c>
      <c r="C24" s="1"/>
      <c r="D24" s="3">
        <v>22</v>
      </c>
      <c r="E24" s="3">
        <v>25</v>
      </c>
    </row>
    <row r="25" spans="1:5" ht="15.75" customHeight="1" x14ac:dyDescent="0.25">
      <c r="A25" s="3">
        <v>23</v>
      </c>
      <c r="B25" s="3">
        <v>41</v>
      </c>
      <c r="C25" s="1"/>
      <c r="D25" s="3">
        <v>23</v>
      </c>
      <c r="E25" s="3">
        <v>24</v>
      </c>
    </row>
    <row r="26" spans="1:5" ht="15.75" customHeight="1" x14ac:dyDescent="0.25">
      <c r="A26" s="3">
        <v>24</v>
      </c>
      <c r="B26" s="3">
        <v>39</v>
      </c>
      <c r="C26" s="1"/>
      <c r="D26" s="3">
        <v>24</v>
      </c>
      <c r="E26" s="3">
        <v>23</v>
      </c>
    </row>
    <row r="27" spans="1:5" ht="15.75" customHeight="1" x14ac:dyDescent="0.25">
      <c r="A27" s="3">
        <v>25</v>
      </c>
      <c r="B27" s="3">
        <v>37</v>
      </c>
      <c r="C27" s="1"/>
      <c r="D27" s="3">
        <v>25</v>
      </c>
      <c r="E27" s="3">
        <v>22</v>
      </c>
    </row>
    <row r="28" spans="1:5" ht="15.75" customHeight="1" x14ac:dyDescent="0.25">
      <c r="A28" s="3">
        <v>26</v>
      </c>
      <c r="B28" s="3">
        <v>35</v>
      </c>
      <c r="C28" s="1"/>
      <c r="D28" s="3">
        <v>26</v>
      </c>
      <c r="E28" s="3">
        <v>21</v>
      </c>
    </row>
    <row r="29" spans="1:5" ht="15.75" customHeight="1" x14ac:dyDescent="0.25">
      <c r="A29" s="3">
        <v>27</v>
      </c>
      <c r="B29" s="3">
        <v>33</v>
      </c>
      <c r="C29" s="1"/>
      <c r="D29" s="3">
        <v>27</v>
      </c>
      <c r="E29" s="3">
        <v>20</v>
      </c>
    </row>
    <row r="30" spans="1:5" ht="15.75" customHeight="1" x14ac:dyDescent="0.25">
      <c r="A30" s="3">
        <v>28</v>
      </c>
      <c r="B30" s="3">
        <v>31</v>
      </c>
      <c r="C30" s="1"/>
      <c r="D30" s="3">
        <v>28</v>
      </c>
      <c r="E30" s="3">
        <v>19</v>
      </c>
    </row>
    <row r="31" spans="1:5" ht="15.75" customHeight="1" x14ac:dyDescent="0.25">
      <c r="A31" s="3">
        <v>29</v>
      </c>
      <c r="B31" s="3">
        <v>29</v>
      </c>
      <c r="C31" s="1"/>
      <c r="D31" s="3">
        <v>29</v>
      </c>
      <c r="E31" s="3">
        <v>18</v>
      </c>
    </row>
    <row r="32" spans="1:5" ht="15.75" customHeight="1" x14ac:dyDescent="0.25">
      <c r="A32" s="3">
        <v>30</v>
      </c>
      <c r="B32" s="3">
        <v>27</v>
      </c>
      <c r="C32" s="1"/>
      <c r="D32" s="3">
        <v>30</v>
      </c>
      <c r="E32" s="3">
        <v>17</v>
      </c>
    </row>
    <row r="33" spans="1:5" ht="15.75" customHeight="1" x14ac:dyDescent="0.25">
      <c r="A33" s="3">
        <v>31</v>
      </c>
      <c r="B33" s="3">
        <v>26</v>
      </c>
      <c r="C33" s="1"/>
      <c r="D33" s="3">
        <v>31</v>
      </c>
      <c r="E33" s="3">
        <v>16</v>
      </c>
    </row>
    <row r="34" spans="1:5" ht="15.75" customHeight="1" x14ac:dyDescent="0.25">
      <c r="A34" s="3">
        <v>32</v>
      </c>
      <c r="B34" s="3">
        <v>25</v>
      </c>
      <c r="C34" s="1"/>
      <c r="D34" s="3">
        <v>32</v>
      </c>
      <c r="E34" s="3">
        <v>15</v>
      </c>
    </row>
    <row r="35" spans="1:5" ht="15.75" customHeight="1" x14ac:dyDescent="0.25">
      <c r="A35" s="3">
        <v>33</v>
      </c>
      <c r="B35" s="3">
        <v>24</v>
      </c>
      <c r="C35" s="1"/>
      <c r="D35" s="3">
        <v>33</v>
      </c>
      <c r="E35" s="3">
        <v>14</v>
      </c>
    </row>
    <row r="36" spans="1:5" ht="15.75" customHeight="1" x14ac:dyDescent="0.25">
      <c r="A36" s="3">
        <v>34</v>
      </c>
      <c r="B36" s="3">
        <v>23</v>
      </c>
      <c r="C36" s="1"/>
      <c r="D36" s="3">
        <v>34</v>
      </c>
      <c r="E36" s="3">
        <v>13</v>
      </c>
    </row>
    <row r="37" spans="1:5" ht="15.75" customHeight="1" x14ac:dyDescent="0.25">
      <c r="A37" s="3">
        <v>35</v>
      </c>
      <c r="B37" s="3">
        <v>22</v>
      </c>
      <c r="C37" s="1"/>
      <c r="D37" s="3">
        <v>35</v>
      </c>
      <c r="E37" s="3">
        <v>12</v>
      </c>
    </row>
    <row r="38" spans="1:5" ht="15.75" customHeight="1" x14ac:dyDescent="0.25">
      <c r="A38" s="3">
        <v>36</v>
      </c>
      <c r="B38" s="3">
        <v>21</v>
      </c>
      <c r="C38" s="1"/>
      <c r="D38" s="3">
        <v>36</v>
      </c>
      <c r="E38" s="3">
        <v>11</v>
      </c>
    </row>
    <row r="39" spans="1:5" ht="15.75" customHeight="1" x14ac:dyDescent="0.25">
      <c r="A39" s="3">
        <v>37</v>
      </c>
      <c r="B39" s="3">
        <v>20</v>
      </c>
      <c r="C39" s="1"/>
      <c r="D39" s="3">
        <v>37</v>
      </c>
      <c r="E39" s="3">
        <v>10</v>
      </c>
    </row>
    <row r="40" spans="1:5" ht="15.75" customHeight="1" x14ac:dyDescent="0.25">
      <c r="A40" s="3">
        <v>38</v>
      </c>
      <c r="B40" s="3">
        <v>19</v>
      </c>
      <c r="C40" s="1"/>
      <c r="D40" s="3">
        <v>38</v>
      </c>
      <c r="E40" s="3">
        <v>9</v>
      </c>
    </row>
    <row r="41" spans="1:5" ht="15.75" customHeight="1" x14ac:dyDescent="0.25">
      <c r="A41" s="3">
        <v>39</v>
      </c>
      <c r="B41" s="3">
        <v>18</v>
      </c>
      <c r="C41" s="1"/>
      <c r="D41" s="3">
        <v>39</v>
      </c>
      <c r="E41" s="3">
        <v>8</v>
      </c>
    </row>
    <row r="42" spans="1:5" ht="15.75" customHeight="1" x14ac:dyDescent="0.25">
      <c r="A42" s="3">
        <v>40</v>
      </c>
      <c r="B42" s="3">
        <v>17</v>
      </c>
      <c r="C42" s="1"/>
      <c r="D42" s="3">
        <v>40</v>
      </c>
      <c r="E42" s="3">
        <v>7</v>
      </c>
    </row>
    <row r="43" spans="1:5" ht="15.75" customHeight="1" x14ac:dyDescent="0.25"/>
    <row r="44" spans="1:5" ht="15.75" customHeight="1" x14ac:dyDescent="0.25"/>
    <row r="45" spans="1:5" ht="15.75" customHeight="1" x14ac:dyDescent="0.25"/>
    <row r="46" spans="1:5" ht="15.75" customHeight="1" x14ac:dyDescent="0.25"/>
    <row r="47" spans="1:5" ht="15.75" customHeight="1" x14ac:dyDescent="0.25"/>
    <row r="48" spans="1:5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">
    <mergeCell ref="A1:B1"/>
    <mergeCell ref="D1:E1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S78"/>
  <sheetViews>
    <sheetView zoomScaleNormal="10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P13" sqref="P13"/>
    </sheetView>
  </sheetViews>
  <sheetFormatPr defaultColWidth="14.42578125" defaultRowHeight="15" customHeight="1" outlineLevelCol="1" x14ac:dyDescent="0.25"/>
  <cols>
    <col min="1" max="1" width="8.7109375" customWidth="1"/>
    <col min="2" max="2" width="9" customWidth="1"/>
    <col min="3" max="3" width="7.42578125" customWidth="1"/>
    <col min="4" max="4" width="1.42578125" customWidth="1"/>
    <col min="5" max="5" width="24.5703125" bestFit="1" customWidth="1"/>
    <col min="6" max="6" width="1.42578125" customWidth="1"/>
    <col min="7" max="7" width="6.85546875" hidden="1" customWidth="1" outlineLevel="1"/>
    <col min="8" max="8" width="7.140625" customWidth="1" collapsed="1"/>
    <col min="9" max="9" width="6.85546875" customWidth="1"/>
    <col min="10" max="10" width="1.42578125" customWidth="1"/>
    <col min="11" max="11" width="6.85546875" hidden="1" customWidth="1" outlineLevel="1"/>
    <col min="12" max="12" width="7.140625" customWidth="1" collapsed="1"/>
    <col min="13" max="13" width="6.85546875" customWidth="1"/>
    <col min="14" max="14" width="1.42578125" customWidth="1"/>
    <col min="15" max="15" width="6.85546875" hidden="1" customWidth="1" outlineLevel="1"/>
    <col min="16" max="16" width="7.140625" customWidth="1" collapsed="1"/>
    <col min="17" max="17" width="6.85546875" customWidth="1"/>
    <col min="18" max="18" width="1.42578125" customWidth="1"/>
    <col min="19" max="19" width="5.140625" hidden="1" customWidth="1" outlineLevel="1"/>
    <col min="20" max="20" width="4.28515625" hidden="1" customWidth="1" outlineLevel="1"/>
    <col min="21" max="21" width="7.140625" hidden="1" customWidth="1" outlineLevel="1"/>
    <col min="22" max="22" width="6.85546875" hidden="1" customWidth="1" outlineLevel="1"/>
    <col min="23" max="23" width="7.85546875" hidden="1" customWidth="1" outlineLevel="1"/>
    <col min="24" max="24" width="7.140625" hidden="1" customWidth="1" outlineLevel="1"/>
    <col min="25" max="25" width="7.140625" customWidth="1" collapsed="1"/>
    <col min="26" max="26" width="6.85546875" customWidth="1"/>
    <col min="27" max="27" width="1.42578125" customWidth="1"/>
    <col min="28" max="28" width="5.140625" hidden="1" customWidth="1" outlineLevel="1"/>
    <col min="29" max="29" width="4.28515625" hidden="1" customWidth="1" outlineLevel="1"/>
    <col min="30" max="30" width="7.140625" hidden="1" customWidth="1" outlineLevel="1"/>
    <col min="31" max="31" width="6.85546875" hidden="1" customWidth="1" outlineLevel="1"/>
    <col min="32" max="32" width="7.85546875" hidden="1" customWidth="1" outlineLevel="1"/>
    <col min="33" max="33" width="7.140625" hidden="1" customWidth="1" outlineLevel="1"/>
    <col min="34" max="34" width="7.140625" customWidth="1" collapsed="1"/>
    <col min="35" max="35" width="6.85546875" customWidth="1"/>
    <col min="36" max="36" width="1.42578125" customWidth="1"/>
    <col min="37" max="37" width="5.140625" hidden="1" customWidth="1" outlineLevel="1"/>
    <col min="38" max="38" width="4.28515625" hidden="1" customWidth="1" outlineLevel="1"/>
    <col min="39" max="39" width="7.140625" hidden="1" customWidth="1" outlineLevel="1"/>
    <col min="40" max="40" width="6.85546875" hidden="1" customWidth="1" outlineLevel="1"/>
    <col min="41" max="41" width="7.85546875" hidden="1" customWidth="1" outlineLevel="1"/>
    <col min="42" max="42" width="7.140625" hidden="1" customWidth="1" outlineLevel="1"/>
    <col min="43" max="43" width="7.140625" customWidth="1" collapsed="1"/>
    <col min="44" max="44" width="6.85546875" customWidth="1"/>
    <col min="45" max="45" width="1.42578125" customWidth="1"/>
    <col min="46" max="46" width="5.140625" hidden="1" customWidth="1" outlineLevel="1"/>
    <col min="47" max="47" width="4.28515625" hidden="1" customWidth="1" outlineLevel="1"/>
    <col min="48" max="48" width="7.140625" hidden="1" customWidth="1" outlineLevel="1"/>
    <col min="49" max="49" width="6.85546875" hidden="1" customWidth="1" outlineLevel="1"/>
    <col min="50" max="50" width="7.85546875" hidden="1" customWidth="1" outlineLevel="1"/>
    <col min="51" max="51" width="7.140625" hidden="1" customWidth="1" outlineLevel="1"/>
    <col min="52" max="52" width="7.140625" customWidth="1" collapsed="1"/>
    <col min="53" max="53" width="6.85546875" customWidth="1"/>
    <col min="54" max="54" width="1.42578125" customWidth="1"/>
    <col min="55" max="55" width="5.140625" hidden="1" customWidth="1" outlineLevel="1"/>
    <col min="56" max="56" width="4.28515625" hidden="1" customWidth="1" outlineLevel="1"/>
    <col min="57" max="57" width="7.140625" hidden="1" customWidth="1" outlineLevel="1"/>
    <col min="58" max="58" width="6.85546875" hidden="1" customWidth="1" outlineLevel="1"/>
    <col min="59" max="59" width="7.85546875" hidden="1" customWidth="1" outlineLevel="1"/>
    <col min="60" max="60" width="7.140625" hidden="1" customWidth="1" outlineLevel="1"/>
    <col min="61" max="61" width="7.140625" customWidth="1" collapsed="1"/>
    <col min="62" max="62" width="6.85546875" customWidth="1"/>
    <col min="63" max="63" width="1.42578125" customWidth="1"/>
    <col min="64" max="64" width="5.140625" hidden="1" customWidth="1" outlineLevel="1"/>
    <col min="65" max="65" width="4.28515625" hidden="1" customWidth="1" outlineLevel="1"/>
    <col min="66" max="66" width="7.140625" customWidth="1" collapsed="1"/>
    <col min="67" max="67" width="6.85546875" customWidth="1"/>
    <col min="68" max="68" width="7.85546875" hidden="1" customWidth="1" outlineLevel="1"/>
    <col min="69" max="69" width="7.140625" hidden="1" customWidth="1" outlineLevel="1"/>
    <col min="70" max="70" width="7.140625" customWidth="1" collapsed="1"/>
    <col min="71" max="71" width="6.85546875" customWidth="1"/>
  </cols>
  <sheetData>
    <row r="1" spans="1:71" x14ac:dyDescent="0.25">
      <c r="E1" s="14"/>
      <c r="G1" s="3"/>
      <c r="H1" s="3"/>
      <c r="I1" s="4">
        <v>1</v>
      </c>
      <c r="K1" s="3"/>
      <c r="L1" s="3"/>
      <c r="M1" s="4">
        <v>1</v>
      </c>
      <c r="O1" s="3"/>
      <c r="P1" s="6"/>
      <c r="Q1" s="11">
        <v>1</v>
      </c>
      <c r="S1" s="3"/>
      <c r="T1" s="3"/>
      <c r="U1" s="3"/>
      <c r="V1" s="3"/>
      <c r="W1" s="3"/>
      <c r="X1" s="3"/>
      <c r="Y1" s="3"/>
      <c r="Z1" s="4">
        <v>1</v>
      </c>
      <c r="AB1" s="3"/>
      <c r="AC1" s="3"/>
      <c r="AD1" s="3"/>
      <c r="AE1" s="3"/>
      <c r="AF1" s="3"/>
      <c r="AG1" s="3"/>
      <c r="AH1" s="3"/>
      <c r="AI1" s="4">
        <v>1</v>
      </c>
      <c r="AK1" s="3"/>
      <c r="AL1" s="3"/>
      <c r="AM1" s="3"/>
      <c r="AN1" s="3"/>
      <c r="AO1" s="3"/>
      <c r="AP1" s="3"/>
      <c r="AQ1" s="3"/>
      <c r="AR1" s="4">
        <v>1</v>
      </c>
      <c r="AT1" s="3"/>
      <c r="AU1" s="3"/>
      <c r="AV1" s="3"/>
      <c r="AW1" s="3"/>
      <c r="AX1" s="3"/>
      <c r="AY1" s="3"/>
      <c r="AZ1" s="3"/>
      <c r="BA1" s="4">
        <v>1</v>
      </c>
      <c r="BC1" s="3"/>
      <c r="BD1" s="3"/>
      <c r="BE1" s="3"/>
      <c r="BF1" s="3"/>
      <c r="BG1" s="3"/>
      <c r="BH1" s="3"/>
      <c r="BI1" s="3"/>
      <c r="BJ1" s="4">
        <v>1</v>
      </c>
      <c r="BL1" s="3"/>
      <c r="BM1" s="3"/>
      <c r="BN1" s="3"/>
      <c r="BO1" s="3"/>
      <c r="BP1" s="3"/>
      <c r="BQ1" s="3"/>
      <c r="BR1" s="3"/>
      <c r="BS1" s="4">
        <v>1</v>
      </c>
    </row>
    <row r="2" spans="1:71" x14ac:dyDescent="0.25">
      <c r="E2" s="14"/>
      <c r="G2" s="3"/>
      <c r="H2" s="3"/>
      <c r="I2" s="3"/>
      <c r="K2" s="3"/>
      <c r="L2" s="3"/>
      <c r="M2" s="3"/>
      <c r="O2" s="3"/>
      <c r="P2" s="3"/>
      <c r="Q2" s="3"/>
      <c r="S2" s="3"/>
      <c r="T2" s="3"/>
      <c r="U2" s="3"/>
      <c r="V2" s="5">
        <f>21*2+15*2+9*2</f>
        <v>90</v>
      </c>
      <c r="W2" s="3"/>
      <c r="X2" s="3"/>
      <c r="Y2" s="3"/>
      <c r="Z2" s="3"/>
      <c r="AB2" s="3"/>
      <c r="AC2" s="3"/>
      <c r="AD2" s="3"/>
      <c r="AE2" s="5">
        <v>90</v>
      </c>
      <c r="AF2" s="3"/>
      <c r="AG2" s="3"/>
      <c r="AH2" s="3"/>
      <c r="AI2" s="3"/>
      <c r="AK2" s="3"/>
      <c r="AL2" s="3"/>
      <c r="AM2" s="3"/>
      <c r="AN2" s="5">
        <f>100+12*5+100</f>
        <v>260</v>
      </c>
      <c r="AO2" s="3"/>
      <c r="AP2" s="3"/>
      <c r="AQ2" s="3"/>
      <c r="AR2" s="3"/>
      <c r="AT2" s="3"/>
      <c r="AU2" s="3"/>
      <c r="AV2" s="3"/>
      <c r="AW2" s="5">
        <f>5+5+5+4+5+3+5+2+5+1</f>
        <v>40</v>
      </c>
      <c r="AX2" s="3"/>
      <c r="AY2" s="3"/>
      <c r="AZ2" s="3"/>
      <c r="BA2" s="3"/>
      <c r="BC2" s="3"/>
      <c r="BD2" s="3"/>
      <c r="BE2" s="3"/>
      <c r="BF2" s="5">
        <v>42</v>
      </c>
      <c r="BG2" s="3"/>
      <c r="BH2" s="3"/>
      <c r="BI2" s="3"/>
      <c r="BJ2" s="3"/>
      <c r="BL2" s="3"/>
      <c r="BM2" s="3"/>
      <c r="BN2" s="3"/>
      <c r="BO2" s="5">
        <v>8</v>
      </c>
      <c r="BP2" s="3"/>
      <c r="BQ2" s="3"/>
      <c r="BR2" s="3"/>
      <c r="BS2" s="3"/>
    </row>
    <row r="3" spans="1:71" x14ac:dyDescent="0.25">
      <c r="E3" s="14"/>
      <c r="G3" s="6"/>
      <c r="H3" s="3"/>
      <c r="I3" s="3"/>
      <c r="K3" s="3"/>
      <c r="L3" s="3"/>
      <c r="M3" s="3"/>
      <c r="O3" s="3"/>
      <c r="P3" s="3"/>
      <c r="Q3" s="3"/>
      <c r="S3" s="3"/>
      <c r="T3" s="3"/>
      <c r="U3" s="3"/>
      <c r="V3" s="6" t="s">
        <v>30</v>
      </c>
      <c r="W3" s="3"/>
      <c r="X3" s="3"/>
      <c r="Y3" s="3"/>
      <c r="Z3" s="3"/>
      <c r="AB3" s="3"/>
      <c r="AC3" s="3"/>
      <c r="AD3" s="3"/>
      <c r="AE3" s="6" t="s">
        <v>30</v>
      </c>
      <c r="AF3" s="3"/>
      <c r="AG3" s="3"/>
      <c r="AH3" s="3"/>
      <c r="AI3" s="3"/>
      <c r="AK3" s="3"/>
      <c r="AL3" s="3"/>
      <c r="AM3" s="3"/>
      <c r="AN3" s="6" t="s">
        <v>20</v>
      </c>
      <c r="AO3" s="3"/>
      <c r="AP3" s="3"/>
      <c r="AQ3" s="3"/>
      <c r="AR3" s="3"/>
      <c r="AT3" s="3"/>
      <c r="AU3" s="3"/>
      <c r="AV3" s="3"/>
      <c r="AW3" s="6" t="s">
        <v>20</v>
      </c>
      <c r="AX3" s="3"/>
      <c r="AY3" s="3"/>
      <c r="AZ3" s="3"/>
      <c r="BA3" s="3"/>
      <c r="BC3" s="3"/>
      <c r="BD3" s="3"/>
      <c r="BE3" s="3"/>
      <c r="BF3" s="6" t="s">
        <v>85</v>
      </c>
      <c r="BG3" s="3"/>
      <c r="BH3" s="3"/>
      <c r="BI3" s="3"/>
      <c r="BJ3" s="3"/>
      <c r="BL3" s="3"/>
      <c r="BM3" s="3"/>
      <c r="BN3" s="3"/>
      <c r="BO3" s="6" t="s">
        <v>87</v>
      </c>
      <c r="BP3" s="3"/>
      <c r="BQ3" s="3"/>
      <c r="BR3" s="3"/>
      <c r="BS3" s="3"/>
    </row>
    <row r="4" spans="1:71" x14ac:dyDescent="0.25">
      <c r="G4" s="3"/>
      <c r="H4" s="3"/>
      <c r="I4" s="3"/>
      <c r="K4" s="3"/>
      <c r="L4" s="3"/>
      <c r="M4" s="3"/>
      <c r="O4" s="3"/>
      <c r="P4" s="3"/>
      <c r="Q4" s="3"/>
      <c r="S4" s="3"/>
      <c r="T4" s="3"/>
      <c r="U4" s="3"/>
      <c r="V4" s="3"/>
      <c r="W4" s="3"/>
      <c r="X4" s="3"/>
      <c r="Y4" s="3"/>
      <c r="Z4" s="3"/>
      <c r="AB4" s="3"/>
      <c r="AC4" s="3"/>
      <c r="AD4" s="3"/>
      <c r="AE4" s="3"/>
      <c r="AF4" s="3"/>
      <c r="AG4" s="3"/>
      <c r="AH4" s="3"/>
      <c r="AI4" s="3"/>
      <c r="AK4" s="3"/>
      <c r="AL4" s="3"/>
      <c r="AM4" s="3"/>
      <c r="AN4" s="3"/>
      <c r="AO4" s="3"/>
      <c r="AP4" s="3"/>
      <c r="AQ4" s="3"/>
      <c r="AR4" s="3"/>
      <c r="AT4" s="3"/>
      <c r="AU4" s="3"/>
      <c r="AV4" s="3"/>
      <c r="AW4" s="3"/>
      <c r="AX4" s="3"/>
      <c r="AY4" s="3"/>
      <c r="AZ4" s="3"/>
      <c r="BA4" s="3"/>
      <c r="BC4" s="3"/>
      <c r="BD4" s="3"/>
      <c r="BE4" s="3"/>
      <c r="BF4" s="3"/>
      <c r="BG4" s="3"/>
      <c r="BH4" s="3"/>
      <c r="BI4" s="3"/>
      <c r="BJ4" s="3"/>
      <c r="BL4" s="3"/>
      <c r="BM4" s="3"/>
      <c r="BN4" s="3"/>
      <c r="BO4" s="3"/>
      <c r="BP4" s="3"/>
      <c r="BQ4" s="3"/>
      <c r="BR4" s="3"/>
      <c r="BS4" s="3"/>
    </row>
    <row r="5" spans="1:71" ht="15" customHeight="1" x14ac:dyDescent="0.25">
      <c r="B5" s="24" t="s">
        <v>4</v>
      </c>
      <c r="C5" s="25"/>
      <c r="D5" s="7"/>
      <c r="E5" s="24" t="s">
        <v>24</v>
      </c>
      <c r="F5" s="7"/>
      <c r="G5" s="24" t="s">
        <v>18</v>
      </c>
      <c r="H5" s="25"/>
      <c r="I5" s="25"/>
      <c r="J5" s="7"/>
      <c r="K5" s="24" t="s">
        <v>5</v>
      </c>
      <c r="L5" s="25"/>
      <c r="M5" s="25"/>
      <c r="N5" s="7"/>
      <c r="O5" s="24" t="s">
        <v>6</v>
      </c>
      <c r="P5" s="25"/>
      <c r="Q5" s="25"/>
      <c r="R5" s="7"/>
      <c r="S5" s="24" t="s">
        <v>7</v>
      </c>
      <c r="T5" s="25"/>
      <c r="U5" s="25"/>
      <c r="V5" s="25"/>
      <c r="W5" s="25"/>
      <c r="X5" s="25"/>
      <c r="Y5" s="25"/>
      <c r="Z5" s="25"/>
      <c r="AA5" s="7"/>
      <c r="AB5" s="24" t="s">
        <v>43</v>
      </c>
      <c r="AC5" s="25"/>
      <c r="AD5" s="25"/>
      <c r="AE5" s="25"/>
      <c r="AF5" s="25"/>
      <c r="AG5" s="25"/>
      <c r="AH5" s="25"/>
      <c r="AI5" s="25"/>
      <c r="AJ5" s="7"/>
      <c r="AK5" s="24" t="s">
        <v>44</v>
      </c>
      <c r="AL5" s="25"/>
      <c r="AM5" s="25"/>
      <c r="AN5" s="25"/>
      <c r="AO5" s="25"/>
      <c r="AP5" s="25"/>
      <c r="AQ5" s="25"/>
      <c r="AR5" s="25"/>
      <c r="AS5" s="7"/>
      <c r="AT5" s="24" t="s">
        <v>45</v>
      </c>
      <c r="AU5" s="25"/>
      <c r="AV5" s="25"/>
      <c r="AW5" s="25"/>
      <c r="AX5" s="25"/>
      <c r="AY5" s="25"/>
      <c r="AZ5" s="25"/>
      <c r="BA5" s="25"/>
      <c r="BB5" s="7"/>
      <c r="BC5" s="24" t="s">
        <v>46</v>
      </c>
      <c r="BD5" s="25"/>
      <c r="BE5" s="25"/>
      <c r="BF5" s="25"/>
      <c r="BG5" s="25"/>
      <c r="BH5" s="25"/>
      <c r="BI5" s="25"/>
      <c r="BJ5" s="25"/>
      <c r="BK5" s="7"/>
      <c r="BL5" s="24" t="s">
        <v>86</v>
      </c>
      <c r="BM5" s="25"/>
      <c r="BN5" s="25"/>
      <c r="BO5" s="25"/>
      <c r="BP5" s="25"/>
      <c r="BQ5" s="25"/>
      <c r="BR5" s="25"/>
      <c r="BS5" s="25"/>
    </row>
    <row r="6" spans="1:71" x14ac:dyDescent="0.25">
      <c r="B6" s="25"/>
      <c r="C6" s="25"/>
      <c r="D6" s="8"/>
      <c r="E6" s="25"/>
      <c r="F6" s="8"/>
      <c r="G6" s="25"/>
      <c r="H6" s="25"/>
      <c r="I6" s="25"/>
      <c r="J6" s="8"/>
      <c r="K6" s="25"/>
      <c r="L6" s="25"/>
      <c r="M6" s="25"/>
      <c r="N6" s="8"/>
      <c r="O6" s="25"/>
      <c r="P6" s="25"/>
      <c r="Q6" s="25"/>
      <c r="R6" s="8"/>
      <c r="S6" s="25"/>
      <c r="T6" s="25"/>
      <c r="U6" s="25"/>
      <c r="V6" s="25"/>
      <c r="W6" s="25"/>
      <c r="X6" s="25"/>
      <c r="Y6" s="25"/>
      <c r="Z6" s="25"/>
      <c r="AA6" s="8"/>
      <c r="AB6" s="25"/>
      <c r="AC6" s="25"/>
      <c r="AD6" s="25"/>
      <c r="AE6" s="25"/>
      <c r="AF6" s="25"/>
      <c r="AG6" s="25"/>
      <c r="AH6" s="25"/>
      <c r="AI6" s="25"/>
      <c r="AJ6" s="8"/>
      <c r="AK6" s="25"/>
      <c r="AL6" s="25"/>
      <c r="AM6" s="25"/>
      <c r="AN6" s="25"/>
      <c r="AO6" s="25"/>
      <c r="AP6" s="25"/>
      <c r="AQ6" s="25"/>
      <c r="AR6" s="25"/>
      <c r="AS6" s="8"/>
      <c r="AT6" s="25"/>
      <c r="AU6" s="25"/>
      <c r="AV6" s="25"/>
      <c r="AW6" s="25"/>
      <c r="AX6" s="25"/>
      <c r="AY6" s="25"/>
      <c r="AZ6" s="25"/>
      <c r="BA6" s="25"/>
      <c r="BB6" s="8"/>
      <c r="BC6" s="25"/>
      <c r="BD6" s="25"/>
      <c r="BE6" s="25"/>
      <c r="BF6" s="25"/>
      <c r="BG6" s="25"/>
      <c r="BH6" s="25"/>
      <c r="BI6" s="25"/>
      <c r="BJ6" s="25"/>
      <c r="BK6" s="8"/>
      <c r="BL6" s="25"/>
      <c r="BM6" s="25"/>
      <c r="BN6" s="25"/>
      <c r="BO6" s="25"/>
      <c r="BP6" s="25"/>
      <c r="BQ6" s="25"/>
      <c r="BR6" s="25"/>
      <c r="BS6" s="25"/>
    </row>
    <row r="7" spans="1:71" ht="25.5" x14ac:dyDescent="0.25">
      <c r="A7" s="18"/>
      <c r="B7" s="13" t="s">
        <v>8</v>
      </c>
      <c r="C7" s="13" t="s">
        <v>9</v>
      </c>
      <c r="D7" s="9"/>
      <c r="E7" s="15" t="s">
        <v>10</v>
      </c>
      <c r="F7" s="9"/>
      <c r="G7" s="13" t="s">
        <v>19</v>
      </c>
      <c r="H7" s="12" t="s">
        <v>14</v>
      </c>
      <c r="I7" s="12" t="s">
        <v>15</v>
      </c>
      <c r="J7" s="9"/>
      <c r="K7" s="13" t="s">
        <v>16</v>
      </c>
      <c r="L7" s="12" t="s">
        <v>14</v>
      </c>
      <c r="M7" s="12" t="s">
        <v>15</v>
      </c>
      <c r="N7" s="9"/>
      <c r="O7" s="13" t="s">
        <v>16</v>
      </c>
      <c r="P7" s="12" t="s">
        <v>14</v>
      </c>
      <c r="Q7" s="12" t="s">
        <v>15</v>
      </c>
      <c r="R7" s="9"/>
      <c r="S7" s="12" t="s">
        <v>11</v>
      </c>
      <c r="T7" s="12" t="s">
        <v>12</v>
      </c>
      <c r="U7" s="12" t="s">
        <v>13</v>
      </c>
      <c r="V7" s="13" t="s">
        <v>16</v>
      </c>
      <c r="W7" s="12" t="s">
        <v>17</v>
      </c>
      <c r="X7" s="12" t="s">
        <v>13</v>
      </c>
      <c r="Y7" s="12" t="s">
        <v>14</v>
      </c>
      <c r="Z7" s="12" t="s">
        <v>15</v>
      </c>
      <c r="AA7" s="9"/>
      <c r="AB7" s="12" t="s">
        <v>11</v>
      </c>
      <c r="AC7" s="12" t="s">
        <v>12</v>
      </c>
      <c r="AD7" s="12" t="s">
        <v>13</v>
      </c>
      <c r="AE7" s="13" t="s">
        <v>16</v>
      </c>
      <c r="AF7" s="12" t="s">
        <v>17</v>
      </c>
      <c r="AG7" s="12" t="s">
        <v>13</v>
      </c>
      <c r="AH7" s="12" t="s">
        <v>14</v>
      </c>
      <c r="AI7" s="12" t="s">
        <v>15</v>
      </c>
      <c r="AJ7" s="9"/>
      <c r="AK7" s="12" t="s">
        <v>11</v>
      </c>
      <c r="AL7" s="12" t="s">
        <v>12</v>
      </c>
      <c r="AM7" s="12" t="s">
        <v>13</v>
      </c>
      <c r="AN7" s="13" t="s">
        <v>16</v>
      </c>
      <c r="AO7" s="12" t="s">
        <v>17</v>
      </c>
      <c r="AP7" s="12" t="s">
        <v>13</v>
      </c>
      <c r="AQ7" s="12" t="s">
        <v>14</v>
      </c>
      <c r="AR7" s="12" t="s">
        <v>15</v>
      </c>
      <c r="AS7" s="9"/>
      <c r="AT7" s="12" t="s">
        <v>11</v>
      </c>
      <c r="AU7" s="12" t="s">
        <v>12</v>
      </c>
      <c r="AV7" s="12" t="s">
        <v>13</v>
      </c>
      <c r="AW7" s="13" t="s">
        <v>16</v>
      </c>
      <c r="AX7" s="12" t="s">
        <v>17</v>
      </c>
      <c r="AY7" s="12" t="s">
        <v>13</v>
      </c>
      <c r="AZ7" s="12" t="s">
        <v>14</v>
      </c>
      <c r="BA7" s="12" t="s">
        <v>15</v>
      </c>
      <c r="BB7" s="9"/>
      <c r="BC7" s="12" t="s">
        <v>11</v>
      </c>
      <c r="BD7" s="12" t="s">
        <v>12</v>
      </c>
      <c r="BE7" s="12" t="s">
        <v>13</v>
      </c>
      <c r="BF7" s="13" t="s">
        <v>16</v>
      </c>
      <c r="BG7" s="12" t="s">
        <v>17</v>
      </c>
      <c r="BH7" s="12" t="s">
        <v>13</v>
      </c>
      <c r="BI7" s="12" t="s">
        <v>14</v>
      </c>
      <c r="BJ7" s="12" t="s">
        <v>15</v>
      </c>
      <c r="BK7" s="9"/>
      <c r="BL7" s="12" t="s">
        <v>11</v>
      </c>
      <c r="BM7" s="12" t="s">
        <v>12</v>
      </c>
      <c r="BN7" s="12" t="s">
        <v>13</v>
      </c>
      <c r="BO7" s="13" t="s">
        <v>16</v>
      </c>
      <c r="BP7" s="12" t="s">
        <v>17</v>
      </c>
      <c r="BQ7" s="12" t="s">
        <v>13</v>
      </c>
      <c r="BR7" s="12" t="s">
        <v>14</v>
      </c>
      <c r="BS7" s="12" t="s">
        <v>15</v>
      </c>
    </row>
    <row r="8" spans="1:71" x14ac:dyDescent="0.25">
      <c r="A8" s="18"/>
      <c r="B8" s="7">
        <f>RANK(C8,C$8:C$18,0)</f>
        <v>1</v>
      </c>
      <c r="C8" s="7">
        <f>SUMIF($G$1:$BS$1,1,$G8:$BS8)</f>
        <v>851</v>
      </c>
      <c r="D8" s="10"/>
      <c r="E8" s="16" t="s">
        <v>50</v>
      </c>
      <c r="F8" s="10"/>
      <c r="G8" s="7">
        <v>161</v>
      </c>
      <c r="H8" s="7">
        <f>RANK(G8,G$8:G$18,0)</f>
        <v>1</v>
      </c>
      <c r="I8" s="7">
        <f>VLOOKUP(H8,'Место-баллы'!$A$3:$E$52,2,0)</f>
        <v>100</v>
      </c>
      <c r="J8" s="10"/>
      <c r="K8" s="7">
        <v>4845</v>
      </c>
      <c r="L8" s="7">
        <f>RANK(K8,K$8:K$18,0)</f>
        <v>1</v>
      </c>
      <c r="M8" s="7">
        <f>VLOOKUP(L8,'Место-баллы'!$A$3:$E$52,2,0)</f>
        <v>100</v>
      </c>
      <c r="N8" s="10"/>
      <c r="O8" s="7">
        <v>22</v>
      </c>
      <c r="P8" s="7">
        <f>RANK(O8,O$8:O$18,0)</f>
        <v>8</v>
      </c>
      <c r="Q8" s="7">
        <f>VLOOKUP(P8,'Место-баллы'!$A$3:$E$52,2,0)</f>
        <v>71</v>
      </c>
      <c r="R8" s="10"/>
      <c r="S8" s="7">
        <v>3</v>
      </c>
      <c r="T8" s="7">
        <v>50</v>
      </c>
      <c r="U8" s="17">
        <f>TIME(0,S8,T8)</f>
        <v>2.6620370370370374E-3</v>
      </c>
      <c r="V8" s="7">
        <v>90</v>
      </c>
      <c r="W8" s="7">
        <f>V$2-V8</f>
        <v>0</v>
      </c>
      <c r="X8" s="17">
        <f>U8+TIME(0,0,W8)</f>
        <v>2.6620370370370374E-3</v>
      </c>
      <c r="Y8" s="7">
        <f>RANK(X8,X$8:X$18,1)</f>
        <v>1</v>
      </c>
      <c r="Z8" s="7">
        <f>VLOOKUP(Y8,'Место-баллы'!$A$3:$E$52,2,0)</f>
        <v>100</v>
      </c>
      <c r="AA8" s="10"/>
      <c r="AB8" s="7">
        <v>5</v>
      </c>
      <c r="AC8" s="7">
        <v>7</v>
      </c>
      <c r="AD8" s="17">
        <f>TIME(0,AB8,AC8)</f>
        <v>3.5532407407407405E-3</v>
      </c>
      <c r="AE8" s="7">
        <v>90</v>
      </c>
      <c r="AF8" s="7">
        <f>AE$2-AE8</f>
        <v>0</v>
      </c>
      <c r="AG8" s="17">
        <f>AD8+TIME(0,0,AF8)</f>
        <v>3.5532407407407405E-3</v>
      </c>
      <c r="AH8" s="7">
        <f>RANK(AG8,AG$8:AG$18,1)</f>
        <v>1</v>
      </c>
      <c r="AI8" s="7">
        <f>VLOOKUP(AH8,'Место-баллы'!$A$3:$E$52,2,0)</f>
        <v>100</v>
      </c>
      <c r="AJ8" s="10"/>
      <c r="AK8" s="7">
        <v>6</v>
      </c>
      <c r="AL8" s="7">
        <v>24</v>
      </c>
      <c r="AM8" s="17">
        <f>TIME(0,AK8,AL8)</f>
        <v>4.4444444444444444E-3</v>
      </c>
      <c r="AN8" s="7">
        <v>260</v>
      </c>
      <c r="AO8" s="7">
        <f>AN$2-AN8</f>
        <v>0</v>
      </c>
      <c r="AP8" s="17">
        <f>AM8+TIME(0,0,AO8)</f>
        <v>4.4444444444444444E-3</v>
      </c>
      <c r="AQ8" s="7">
        <f>RANK(AP8,AP$8:AP$18,1)</f>
        <v>2</v>
      </c>
      <c r="AR8" s="7">
        <f>VLOOKUP(AQ8,'Место-баллы'!$A$3:$E$52,2,0)</f>
        <v>95</v>
      </c>
      <c r="AS8" s="10"/>
      <c r="AT8" s="7">
        <v>9</v>
      </c>
      <c r="AU8" s="7">
        <v>5</v>
      </c>
      <c r="AV8" s="17">
        <f>TIME(0,AT8,AU8)</f>
        <v>6.3078703703703708E-3</v>
      </c>
      <c r="AW8" s="7">
        <v>33</v>
      </c>
      <c r="AX8" s="7">
        <f>AW$2-AW8</f>
        <v>7</v>
      </c>
      <c r="AY8" s="17">
        <f>AV8+TIME(0,0,AX8)</f>
        <v>6.3888888888888893E-3</v>
      </c>
      <c r="AZ8" s="7">
        <f>RANK(AY8,AY$8:AY$18,1)</f>
        <v>3</v>
      </c>
      <c r="BA8" s="7">
        <f>VLOOKUP(AZ8,'Место-баллы'!$A$3:$E$52,2,0)</f>
        <v>90</v>
      </c>
      <c r="BB8" s="10"/>
      <c r="BC8" s="7">
        <v>2</v>
      </c>
      <c r="BD8" s="7">
        <v>46</v>
      </c>
      <c r="BE8" s="17">
        <f>TIME(0,BC8,BD8)</f>
        <v>1.9212962962962962E-3</v>
      </c>
      <c r="BF8" s="7">
        <v>42</v>
      </c>
      <c r="BG8" s="7">
        <f>BF$2-BF8</f>
        <v>0</v>
      </c>
      <c r="BH8" s="17">
        <f>BE8+TIME(0,0,BG8)</f>
        <v>1.9212962962962962E-3</v>
      </c>
      <c r="BI8" s="7">
        <f>RANK(BH8,BH$8:BH$18,1)</f>
        <v>1</v>
      </c>
      <c r="BJ8" s="7">
        <f>VLOOKUP(BI8,'Место-баллы'!$A$3:$E$52,2,0)</f>
        <v>100</v>
      </c>
      <c r="BK8" s="10"/>
      <c r="BL8" s="7">
        <v>2</v>
      </c>
      <c r="BM8" s="7">
        <v>25</v>
      </c>
      <c r="BN8" s="17">
        <f>TIME(0,BL8,BM8)</f>
        <v>1.6782407407407406E-3</v>
      </c>
      <c r="BO8" s="7">
        <v>8</v>
      </c>
      <c r="BP8" s="7">
        <f>BO$2-BO8</f>
        <v>0</v>
      </c>
      <c r="BQ8" s="17">
        <f>BN8+TIME(0,0,BP8)</f>
        <v>1.6782407407407406E-3</v>
      </c>
      <c r="BR8" s="7">
        <f>RANK(BQ8,BQ$8:BQ$18,1)</f>
        <v>2</v>
      </c>
      <c r="BS8" s="7">
        <f>VLOOKUP(BR8,'Место-баллы'!$A$3:$E$52,2,0)</f>
        <v>95</v>
      </c>
    </row>
    <row r="9" spans="1:71" x14ac:dyDescent="0.25">
      <c r="A9" s="18"/>
      <c r="B9" s="7">
        <f>RANK(C9,C$8:C$18,0)</f>
        <v>2</v>
      </c>
      <c r="C9" s="7">
        <f>SUMIF($G$1:$BS$1,1,$G9:$BS9)</f>
        <v>805</v>
      </c>
      <c r="D9" s="10"/>
      <c r="E9" s="16" t="s">
        <v>57</v>
      </c>
      <c r="F9" s="10"/>
      <c r="G9" s="7">
        <v>145</v>
      </c>
      <c r="H9" s="7">
        <f>RANK(G9,G$8:G$18,0)</f>
        <v>2</v>
      </c>
      <c r="I9" s="7">
        <f>VLOOKUP(H9,'Место-баллы'!$A$3:$E$52,2,0)</f>
        <v>95</v>
      </c>
      <c r="J9" s="10"/>
      <c r="K9" s="7">
        <v>4553</v>
      </c>
      <c r="L9" s="7">
        <f>RANK(K9,K$8:K$18,0)</f>
        <v>6</v>
      </c>
      <c r="M9" s="7">
        <f>VLOOKUP(L9,'Место-баллы'!$A$3:$E$52,2,0)</f>
        <v>75</v>
      </c>
      <c r="N9" s="10"/>
      <c r="O9" s="7">
        <v>36</v>
      </c>
      <c r="P9" s="7">
        <f>RANK(O9,O$8:O$18,0)</f>
        <v>2</v>
      </c>
      <c r="Q9" s="7">
        <f>VLOOKUP(P9,'Место-баллы'!$A$3:$E$52,2,0)</f>
        <v>95</v>
      </c>
      <c r="R9" s="10"/>
      <c r="S9" s="7">
        <v>4</v>
      </c>
      <c r="T9" s="7">
        <v>44</v>
      </c>
      <c r="U9" s="17">
        <f>TIME(0,S9,T9)</f>
        <v>3.2870370370370367E-3</v>
      </c>
      <c r="V9" s="7">
        <v>90</v>
      </c>
      <c r="W9" s="7">
        <f>V$2-V9</f>
        <v>0</v>
      </c>
      <c r="X9" s="17">
        <f>U9+TIME(0,0,W9)</f>
        <v>3.2870370370370367E-3</v>
      </c>
      <c r="Y9" s="7">
        <f>RANK(X9,X$8:X$18,1)</f>
        <v>4</v>
      </c>
      <c r="Z9" s="7">
        <f>VLOOKUP(Y9,'Место-баллы'!$A$3:$E$52,2,0)</f>
        <v>85</v>
      </c>
      <c r="AA9" s="10"/>
      <c r="AB9" s="7">
        <v>6</v>
      </c>
      <c r="AC9" s="7">
        <v>0</v>
      </c>
      <c r="AD9" s="17">
        <f>TIME(0,AB9,AC9)</f>
        <v>4.1666666666666666E-3</v>
      </c>
      <c r="AE9" s="7">
        <v>90</v>
      </c>
      <c r="AF9" s="7">
        <f>AE$2-AE9</f>
        <v>0</v>
      </c>
      <c r="AG9" s="17">
        <f>AD9+TIME(0,0,AF9)</f>
        <v>4.1666666666666666E-3</v>
      </c>
      <c r="AH9" s="7">
        <f>RANK(AG9,AG$8:AG$18,1)</f>
        <v>3</v>
      </c>
      <c r="AI9" s="7">
        <f>VLOOKUP(AH9,'Место-баллы'!$A$3:$E$52,2,0)</f>
        <v>90</v>
      </c>
      <c r="AJ9" s="10"/>
      <c r="AK9" s="7">
        <v>7</v>
      </c>
      <c r="AL9" s="7">
        <v>16</v>
      </c>
      <c r="AM9" s="17">
        <f>TIME(0,AK9,AL9)</f>
        <v>5.0462962962962961E-3</v>
      </c>
      <c r="AN9" s="7">
        <v>260</v>
      </c>
      <c r="AO9" s="7">
        <f>AN$2-AN9</f>
        <v>0</v>
      </c>
      <c r="AP9" s="17">
        <f>AM9+TIME(0,0,AO9)</f>
        <v>5.0462962962962961E-3</v>
      </c>
      <c r="AQ9" s="7">
        <f>RANK(AP9,AP$8:AP$18,1)</f>
        <v>4</v>
      </c>
      <c r="AR9" s="7">
        <f>VLOOKUP(AQ9,'Место-баллы'!$A$3:$E$52,2,0)</f>
        <v>85</v>
      </c>
      <c r="AS9" s="10"/>
      <c r="AT9" s="7">
        <v>9</v>
      </c>
      <c r="AU9" s="7">
        <v>5</v>
      </c>
      <c r="AV9" s="17">
        <f>TIME(0,AT9,AU9)</f>
        <v>6.3078703703703708E-3</v>
      </c>
      <c r="AW9" s="7">
        <v>31</v>
      </c>
      <c r="AX9" s="7">
        <f>AW$2-AW9</f>
        <v>9</v>
      </c>
      <c r="AY9" s="17">
        <f>AV9+TIME(0,0,AX9)</f>
        <v>6.4120370370370373E-3</v>
      </c>
      <c r="AZ9" s="7">
        <f>RANK(AY9,AY$8:AY$18,1)</f>
        <v>4</v>
      </c>
      <c r="BA9" s="7">
        <f>VLOOKUP(AZ9,'Место-баллы'!$A$3:$E$52,2,0)</f>
        <v>85</v>
      </c>
      <c r="BB9" s="10"/>
      <c r="BC9" s="7">
        <v>3</v>
      </c>
      <c r="BD9" s="7">
        <v>5</v>
      </c>
      <c r="BE9" s="17">
        <f>TIME(0,BC9,BD9)</f>
        <v>2.1412037037037038E-3</v>
      </c>
      <c r="BF9" s="7">
        <v>40</v>
      </c>
      <c r="BG9" s="7">
        <f>BF$2-BF9</f>
        <v>2</v>
      </c>
      <c r="BH9" s="17">
        <f>BE9+TIME(0,0,BG9)</f>
        <v>2.1643518518518518E-3</v>
      </c>
      <c r="BI9" s="7">
        <f>RANK(BH9,BH$8:BH$18,1)</f>
        <v>2</v>
      </c>
      <c r="BJ9" s="7">
        <f>VLOOKUP(BI9,'Место-баллы'!$A$3:$E$52,2,0)</f>
        <v>95</v>
      </c>
      <c r="BK9" s="10"/>
      <c r="BL9" s="7">
        <v>2</v>
      </c>
      <c r="BM9" s="7">
        <v>11</v>
      </c>
      <c r="BN9" s="17">
        <f>TIME(0,BL9,BM9)</f>
        <v>1.5162037037037036E-3</v>
      </c>
      <c r="BO9" s="7">
        <v>8</v>
      </c>
      <c r="BP9" s="7">
        <f>BO$2-BO9</f>
        <v>0</v>
      </c>
      <c r="BQ9" s="17">
        <f>BN9+TIME(0,0,BP9)</f>
        <v>1.5162037037037036E-3</v>
      </c>
      <c r="BR9" s="7">
        <f>RANK(BQ9,BQ$8:BQ$18,1)</f>
        <v>1</v>
      </c>
      <c r="BS9" s="7">
        <f>VLOOKUP(BR9,'Место-баллы'!$A$3:$E$52,2,0)</f>
        <v>100</v>
      </c>
    </row>
    <row r="10" spans="1:71" x14ac:dyDescent="0.25">
      <c r="A10" s="18"/>
      <c r="B10" s="7">
        <v>3</v>
      </c>
      <c r="C10" s="7">
        <f>SUMIF($G$1:$BS$1,1,$G10:$BS10)</f>
        <v>805</v>
      </c>
      <c r="D10" s="10"/>
      <c r="E10" s="16" t="s">
        <v>52</v>
      </c>
      <c r="F10" s="10"/>
      <c r="G10" s="7">
        <v>140</v>
      </c>
      <c r="H10" s="7">
        <f>RANK(G10,G$8:G$18,0)</f>
        <v>5</v>
      </c>
      <c r="I10" s="7">
        <f>VLOOKUP(H10,'Место-баллы'!$A$3:$E$52,2,0)</f>
        <v>80</v>
      </c>
      <c r="J10" s="10"/>
      <c r="K10" s="7">
        <v>4808</v>
      </c>
      <c r="L10" s="7">
        <f>RANK(K10,K$8:K$18,0)</f>
        <v>2</v>
      </c>
      <c r="M10" s="7">
        <f>VLOOKUP(L10,'Место-баллы'!$A$3:$E$52,2,0)</f>
        <v>95</v>
      </c>
      <c r="N10" s="10"/>
      <c r="O10" s="7">
        <v>27</v>
      </c>
      <c r="P10" s="7">
        <f>RANK(O10,O$8:O$18,0)</f>
        <v>4</v>
      </c>
      <c r="Q10" s="7">
        <f>VLOOKUP(P10,'Место-баллы'!$A$3:$E$52,2,0)</f>
        <v>85</v>
      </c>
      <c r="R10" s="10"/>
      <c r="S10" s="7">
        <v>5</v>
      </c>
      <c r="T10" s="7">
        <v>19</v>
      </c>
      <c r="U10" s="17">
        <f>TIME(0,S10,T10)</f>
        <v>3.6921296296296298E-3</v>
      </c>
      <c r="V10" s="7">
        <v>90</v>
      </c>
      <c r="W10" s="7">
        <f>V$2-V10</f>
        <v>0</v>
      </c>
      <c r="X10" s="17">
        <f>U10+TIME(0,0,W10)</f>
        <v>3.6921296296296298E-3</v>
      </c>
      <c r="Y10" s="7">
        <f>RANK(X10,X$8:X$18,1)</f>
        <v>5</v>
      </c>
      <c r="Z10" s="7">
        <f>VLOOKUP(Y10,'Место-баллы'!$A$3:$E$52,2,0)</f>
        <v>80</v>
      </c>
      <c r="AA10" s="10"/>
      <c r="AB10" s="7">
        <v>5</v>
      </c>
      <c r="AC10" s="7">
        <v>27</v>
      </c>
      <c r="AD10" s="17">
        <f>TIME(0,AB10,AC10)</f>
        <v>3.7847222222222223E-3</v>
      </c>
      <c r="AE10" s="7">
        <v>90</v>
      </c>
      <c r="AF10" s="7">
        <f>AE$2-AE10</f>
        <v>0</v>
      </c>
      <c r="AG10" s="17">
        <f>AD10+TIME(0,0,AF10)</f>
        <v>3.7847222222222223E-3</v>
      </c>
      <c r="AH10" s="7">
        <f>RANK(AG10,AG$8:AG$18,1)</f>
        <v>2</v>
      </c>
      <c r="AI10" s="7">
        <f>VLOOKUP(AH10,'Место-баллы'!$A$3:$E$52,2,0)</f>
        <v>95</v>
      </c>
      <c r="AJ10" s="10"/>
      <c r="AK10" s="7">
        <v>7</v>
      </c>
      <c r="AL10" s="7">
        <v>0</v>
      </c>
      <c r="AM10" s="17">
        <f>TIME(0,AK10,AL10)</f>
        <v>4.8611111111111112E-3</v>
      </c>
      <c r="AN10" s="7">
        <v>260</v>
      </c>
      <c r="AO10" s="7">
        <f>AN$2-AN10</f>
        <v>0</v>
      </c>
      <c r="AP10" s="17">
        <f>AM10+TIME(0,0,AO10)</f>
        <v>4.8611111111111112E-3</v>
      </c>
      <c r="AQ10" s="7">
        <f>RANK(AP10,AP$8:AP$18,1)</f>
        <v>3</v>
      </c>
      <c r="AR10" s="7">
        <f>VLOOKUP(AQ10,'Место-баллы'!$A$3:$E$52,2,0)</f>
        <v>90</v>
      </c>
      <c r="AS10" s="10"/>
      <c r="AT10" s="7">
        <v>9</v>
      </c>
      <c r="AU10" s="7">
        <v>5</v>
      </c>
      <c r="AV10" s="17">
        <f>TIME(0,AT10,AU10)</f>
        <v>6.3078703703703708E-3</v>
      </c>
      <c r="AW10" s="7">
        <v>38</v>
      </c>
      <c r="AX10" s="7">
        <f>AW$2-AW10</f>
        <v>2</v>
      </c>
      <c r="AY10" s="17">
        <f>AV10+TIME(0,0,AX10)</f>
        <v>6.3310185185185188E-3</v>
      </c>
      <c r="AZ10" s="7">
        <f>RANK(AY10,AY$8:AY$18,1)</f>
        <v>1</v>
      </c>
      <c r="BA10" s="7">
        <f>VLOOKUP(AZ10,'Место-баллы'!$A$3:$E$52,2,0)</f>
        <v>100</v>
      </c>
      <c r="BB10" s="10"/>
      <c r="BC10" s="7">
        <v>3</v>
      </c>
      <c r="BD10" s="7">
        <v>5</v>
      </c>
      <c r="BE10" s="17">
        <f>TIME(0,BC10,BD10)</f>
        <v>2.1412037037037038E-3</v>
      </c>
      <c r="BF10" s="7">
        <v>40</v>
      </c>
      <c r="BG10" s="7">
        <f>BF$2-BF10</f>
        <v>2</v>
      </c>
      <c r="BH10" s="17">
        <f>BE10+TIME(0,0,BG10)</f>
        <v>2.1643518518518518E-3</v>
      </c>
      <c r="BI10" s="7">
        <f>RANK(BH10,BH$8:BH$18,1)</f>
        <v>2</v>
      </c>
      <c r="BJ10" s="7">
        <f>VLOOKUP(BI10,'Место-баллы'!$A$3:$E$52,2,0)</f>
        <v>95</v>
      </c>
      <c r="BK10" s="10"/>
      <c r="BL10" s="7">
        <v>3</v>
      </c>
      <c r="BM10" s="7">
        <v>44</v>
      </c>
      <c r="BN10" s="17">
        <f>TIME(0,BL10,BM10)</f>
        <v>2.5925925925925925E-3</v>
      </c>
      <c r="BO10" s="7">
        <v>8</v>
      </c>
      <c r="BP10" s="7">
        <f>BO$2-BO10</f>
        <v>0</v>
      </c>
      <c r="BQ10" s="17">
        <f>BN10+TIME(0,0,BP10)</f>
        <v>2.5925925925925925E-3</v>
      </c>
      <c r="BR10" s="7">
        <f>RANK(BQ10,BQ$8:BQ$18,1)</f>
        <v>4</v>
      </c>
      <c r="BS10" s="7">
        <f>VLOOKUP(BR10,'Место-баллы'!$A$3:$E$52,2,0)</f>
        <v>85</v>
      </c>
    </row>
    <row r="11" spans="1:71" x14ac:dyDescent="0.25">
      <c r="A11" s="18"/>
      <c r="B11" s="7">
        <f>RANK(C11,C$8:C$18,0)</f>
        <v>4</v>
      </c>
      <c r="C11" s="7">
        <f>SUMIF($G$1:$BS$1,1,$G11:$BS11)</f>
        <v>791</v>
      </c>
      <c r="D11" s="10"/>
      <c r="E11" s="16" t="s">
        <v>48</v>
      </c>
      <c r="F11" s="10"/>
      <c r="G11" s="7">
        <v>145</v>
      </c>
      <c r="H11" s="7">
        <f>RANK(G11,G$8:G$18,0)</f>
        <v>2</v>
      </c>
      <c r="I11" s="7">
        <f>VLOOKUP(H11,'Место-баллы'!$A$3:$E$52,2,0)</f>
        <v>95</v>
      </c>
      <c r="J11" s="10"/>
      <c r="K11" s="7">
        <v>4588</v>
      </c>
      <c r="L11" s="7">
        <f>RANK(K11,K$8:K$18,0)</f>
        <v>3</v>
      </c>
      <c r="M11" s="7">
        <f>VLOOKUP(L11,'Место-баллы'!$A$3:$E$52,2,0)</f>
        <v>90</v>
      </c>
      <c r="N11" s="10"/>
      <c r="O11" s="7">
        <v>39</v>
      </c>
      <c r="P11" s="7">
        <f>RANK(O11,O$8:O$18,0)</f>
        <v>1</v>
      </c>
      <c r="Q11" s="7">
        <f>VLOOKUP(P11,'Место-баллы'!$A$3:$E$52,2,0)</f>
        <v>100</v>
      </c>
      <c r="R11" s="10"/>
      <c r="S11" s="7">
        <v>4</v>
      </c>
      <c r="T11" s="7">
        <v>29</v>
      </c>
      <c r="U11" s="17">
        <f>TIME(0,S11,T11)</f>
        <v>3.1134259259259257E-3</v>
      </c>
      <c r="V11" s="7">
        <v>90</v>
      </c>
      <c r="W11" s="7">
        <f>V$2-V11</f>
        <v>0</v>
      </c>
      <c r="X11" s="17">
        <f>U11+TIME(0,0,W11)</f>
        <v>3.1134259259259257E-3</v>
      </c>
      <c r="Y11" s="7">
        <f>RANK(X11,X$8:X$18,1)</f>
        <v>2</v>
      </c>
      <c r="Z11" s="7">
        <f>VLOOKUP(Y11,'Место-баллы'!$A$3:$E$52,2,0)</f>
        <v>95</v>
      </c>
      <c r="AA11" s="10"/>
      <c r="AB11" s="7">
        <v>6</v>
      </c>
      <c r="AC11" s="7">
        <v>5</v>
      </c>
      <c r="AD11" s="17">
        <f>TIME(0,AB11,AC11)</f>
        <v>4.2245370370370371E-3</v>
      </c>
      <c r="AE11" s="7">
        <f>69+13</f>
        <v>82</v>
      </c>
      <c r="AF11" s="7">
        <f>AE$2-AE11</f>
        <v>8</v>
      </c>
      <c r="AG11" s="17">
        <f>AD11+TIME(0,0,AF11)</f>
        <v>4.31712962962963E-3</v>
      </c>
      <c r="AH11" s="7">
        <f>RANK(AG11,AG$8:AG$18,1)</f>
        <v>6</v>
      </c>
      <c r="AI11" s="7">
        <f>VLOOKUP(AH11,'Место-баллы'!$A$3:$E$52,2,0)</f>
        <v>75</v>
      </c>
      <c r="AJ11" s="10"/>
      <c r="AK11" s="7">
        <v>5</v>
      </c>
      <c r="AL11" s="7">
        <v>42</v>
      </c>
      <c r="AM11" s="17">
        <f>TIME(0,AK11,AL11)</f>
        <v>3.9583333333333337E-3</v>
      </c>
      <c r="AN11" s="7">
        <v>260</v>
      </c>
      <c r="AO11" s="7">
        <f>AN$2-AN11</f>
        <v>0</v>
      </c>
      <c r="AP11" s="17">
        <f>AM11+TIME(0,0,AO11)</f>
        <v>3.9583333333333337E-3</v>
      </c>
      <c r="AQ11" s="7">
        <f>RANK(AP11,AP$8:AP$18,1)</f>
        <v>1</v>
      </c>
      <c r="AR11" s="7">
        <f>VLOOKUP(AQ11,'Место-баллы'!$A$3:$E$52,2,0)</f>
        <v>100</v>
      </c>
      <c r="AS11" s="10"/>
      <c r="AT11" s="7">
        <v>9</v>
      </c>
      <c r="AU11" s="7">
        <v>5</v>
      </c>
      <c r="AV11" s="17">
        <f>TIME(0,AT11,AU11)</f>
        <v>6.3078703703703708E-3</v>
      </c>
      <c r="AW11" s="7">
        <v>28</v>
      </c>
      <c r="AX11" s="7">
        <f>AW$2-AW11</f>
        <v>12</v>
      </c>
      <c r="AY11" s="17">
        <f>AV11+TIME(0,0,AX11)</f>
        <v>6.4467592592592597E-3</v>
      </c>
      <c r="AZ11" s="7">
        <f>RANK(AY11,AY$8:AY$18,1)</f>
        <v>7</v>
      </c>
      <c r="BA11" s="7">
        <f>VLOOKUP(AZ11,'Место-баллы'!$A$3:$E$52,2,0)</f>
        <v>73</v>
      </c>
      <c r="BB11" s="10"/>
      <c r="BC11" s="7">
        <v>3</v>
      </c>
      <c r="BD11" s="7">
        <v>5</v>
      </c>
      <c r="BE11" s="17">
        <f>TIME(0,BC11,BD11)</f>
        <v>2.1412037037037038E-3</v>
      </c>
      <c r="BF11" s="7">
        <v>38</v>
      </c>
      <c r="BG11" s="7">
        <f>BF$2-BF11</f>
        <v>4</v>
      </c>
      <c r="BH11" s="17">
        <f>BE11+TIME(0,0,BG11)</f>
        <v>2.1875000000000002E-3</v>
      </c>
      <c r="BI11" s="7">
        <f>RANK(BH11,BH$8:BH$18,1)</f>
        <v>7</v>
      </c>
      <c r="BJ11" s="7">
        <f>VLOOKUP(BI11,'Место-баллы'!$A$3:$E$52,2,0)</f>
        <v>73</v>
      </c>
      <c r="BK11" s="10"/>
      <c r="BL11" s="7">
        <v>2</v>
      </c>
      <c r="BM11" s="7">
        <v>46</v>
      </c>
      <c r="BN11" s="17">
        <f>TIME(0,BL11,BM11)</f>
        <v>1.9212962962962962E-3</v>
      </c>
      <c r="BO11" s="7">
        <v>8</v>
      </c>
      <c r="BP11" s="7">
        <f>BO$2-BO11</f>
        <v>0</v>
      </c>
      <c r="BQ11" s="17">
        <f>BN11+TIME(0,0,BP11)</f>
        <v>1.9212962962962962E-3</v>
      </c>
      <c r="BR11" s="7">
        <f>RANK(BQ11,BQ$8:BQ$18,1)</f>
        <v>3</v>
      </c>
      <c r="BS11" s="7">
        <f>VLOOKUP(BR11,'Место-баллы'!$A$3:$E$52,2,0)</f>
        <v>90</v>
      </c>
    </row>
    <row r="12" spans="1:71" x14ac:dyDescent="0.25">
      <c r="A12" s="18"/>
      <c r="B12" s="7">
        <f>RANK(C12,C$8:C$18,0)</f>
        <v>5</v>
      </c>
      <c r="C12" s="7">
        <f>SUMIF($G$1:$BS$1,1,$G12:$BS12)</f>
        <v>661</v>
      </c>
      <c r="D12" s="10"/>
      <c r="E12" s="16" t="s">
        <v>58</v>
      </c>
      <c r="F12" s="10"/>
      <c r="G12" s="7">
        <v>141</v>
      </c>
      <c r="H12" s="7">
        <f>RANK(G12,G$8:G$18,0)</f>
        <v>4</v>
      </c>
      <c r="I12" s="7">
        <f>VLOOKUP(H12,'Место-баллы'!$A$3:$E$52,2,0)</f>
        <v>85</v>
      </c>
      <c r="J12" s="10"/>
      <c r="K12" s="7">
        <v>4571</v>
      </c>
      <c r="L12" s="7">
        <f>RANK(K12,K$8:K$18,0)</f>
        <v>4</v>
      </c>
      <c r="M12" s="7">
        <f>VLOOKUP(L12,'Место-баллы'!$A$3:$E$52,2,0)</f>
        <v>85</v>
      </c>
      <c r="N12" s="10"/>
      <c r="O12" s="7">
        <v>23</v>
      </c>
      <c r="P12" s="7">
        <f>RANK(O12,O$8:O$18,0)</f>
        <v>7</v>
      </c>
      <c r="Q12" s="7">
        <f>VLOOKUP(P12,'Место-баллы'!$A$3:$E$52,2,0)</f>
        <v>73</v>
      </c>
      <c r="R12" s="10"/>
      <c r="S12" s="7">
        <v>4</v>
      </c>
      <c r="T12" s="7">
        <v>30</v>
      </c>
      <c r="U12" s="17">
        <f>TIME(0,S12,T12)</f>
        <v>3.1249999999999997E-3</v>
      </c>
      <c r="V12" s="7">
        <v>90</v>
      </c>
      <c r="W12" s="7">
        <f>V$2-V12</f>
        <v>0</v>
      </c>
      <c r="X12" s="17">
        <f>U12+TIME(0,0,W12)</f>
        <v>3.1249999999999997E-3</v>
      </c>
      <c r="Y12" s="7">
        <f>RANK(X12,X$8:X$18,1)</f>
        <v>3</v>
      </c>
      <c r="Z12" s="7">
        <f>VLOOKUP(Y12,'Место-баллы'!$A$3:$E$52,2,0)</f>
        <v>90</v>
      </c>
      <c r="AA12" s="10"/>
      <c r="AB12" s="7">
        <v>6</v>
      </c>
      <c r="AC12" s="7">
        <v>5</v>
      </c>
      <c r="AD12" s="17">
        <f>TIME(0,AB12,AC12)</f>
        <v>4.2245370370370371E-3</v>
      </c>
      <c r="AE12" s="7">
        <v>88</v>
      </c>
      <c r="AF12" s="7">
        <f>AE$2-AE12</f>
        <v>2</v>
      </c>
      <c r="AG12" s="17">
        <f>AD12+TIME(0,0,AF12)</f>
        <v>4.2476851851851851E-3</v>
      </c>
      <c r="AH12" s="7">
        <f>RANK(AG12,AG$8:AG$18,1)</f>
        <v>4</v>
      </c>
      <c r="AI12" s="7">
        <f>VLOOKUP(AH12,'Место-баллы'!$A$3:$E$52,2,0)</f>
        <v>85</v>
      </c>
      <c r="AJ12" s="10"/>
      <c r="AK12" s="7">
        <v>7</v>
      </c>
      <c r="AL12" s="7">
        <v>56</v>
      </c>
      <c r="AM12" s="17">
        <f>TIME(0,AK12,AL12)</f>
        <v>5.5092592592592589E-3</v>
      </c>
      <c r="AN12" s="7">
        <v>260</v>
      </c>
      <c r="AO12" s="7">
        <f>AN$2-AN12</f>
        <v>0</v>
      </c>
      <c r="AP12" s="17">
        <f>AM12+TIME(0,0,AO12)</f>
        <v>5.5092592592592589E-3</v>
      </c>
      <c r="AQ12" s="7">
        <f>RANK(AP12,AP$8:AP$18,1)</f>
        <v>7</v>
      </c>
      <c r="AR12" s="7">
        <f>VLOOKUP(AQ12,'Место-баллы'!$A$3:$E$52,2,0)</f>
        <v>73</v>
      </c>
      <c r="AS12" s="10"/>
      <c r="AT12" s="7">
        <v>9</v>
      </c>
      <c r="AU12" s="7">
        <v>5</v>
      </c>
      <c r="AV12" s="17">
        <f>TIME(0,AT12,AU12)</f>
        <v>6.3078703703703708E-3</v>
      </c>
      <c r="AW12" s="7">
        <v>34</v>
      </c>
      <c r="AX12" s="7">
        <f>AW$2-AW12</f>
        <v>6</v>
      </c>
      <c r="AY12" s="17">
        <f>AV12+TIME(0,0,AX12)</f>
        <v>6.3773148148148148E-3</v>
      </c>
      <c r="AZ12" s="7">
        <f>RANK(AY12,AY$8:AY$18,1)</f>
        <v>2</v>
      </c>
      <c r="BA12" s="7">
        <f>VLOOKUP(AZ12,'Место-баллы'!$A$3:$E$52,2,0)</f>
        <v>95</v>
      </c>
      <c r="BB12" s="10"/>
      <c r="BC12" s="7">
        <v>3</v>
      </c>
      <c r="BD12" s="7">
        <v>5</v>
      </c>
      <c r="BE12" s="17">
        <f>TIME(0,BC12,BD12)</f>
        <v>2.1412037037037038E-3</v>
      </c>
      <c r="BF12" s="7">
        <v>39</v>
      </c>
      <c r="BG12" s="7">
        <f>BF$2-BF12</f>
        <v>3</v>
      </c>
      <c r="BH12" s="17">
        <f>BE12+TIME(0,0,BG12)</f>
        <v>2.1759259259259258E-3</v>
      </c>
      <c r="BI12" s="7">
        <f>RANK(BH12,BH$8:BH$18,1)</f>
        <v>6</v>
      </c>
      <c r="BJ12" s="7">
        <f>VLOOKUP(BI12,'Место-баллы'!$A$3:$E$52,2,0)</f>
        <v>75</v>
      </c>
      <c r="BK12" s="10"/>
      <c r="BL12" s="7"/>
      <c r="BM12" s="7"/>
      <c r="BN12" s="17"/>
      <c r="BO12" s="7"/>
      <c r="BP12" s="7"/>
      <c r="BQ12" s="17"/>
      <c r="BR12" s="7"/>
      <c r="BS12" s="7"/>
    </row>
    <row r="13" spans="1:71" x14ac:dyDescent="0.25">
      <c r="A13" s="18"/>
      <c r="B13" s="7">
        <f>RANK(C13,C$8:C$18,0)</f>
        <v>6</v>
      </c>
      <c r="C13" s="7">
        <f>SUMIF($G$1:$BS$1,1,$G13:$BS13)</f>
        <v>638</v>
      </c>
      <c r="D13" s="10"/>
      <c r="E13" s="16" t="s">
        <v>53</v>
      </c>
      <c r="F13" s="10"/>
      <c r="G13" s="7">
        <v>131</v>
      </c>
      <c r="H13" s="7">
        <f>RANK(G13,G$8:G$18,0)</f>
        <v>6</v>
      </c>
      <c r="I13" s="7">
        <f>VLOOKUP(H13,'Место-баллы'!$A$3:$E$52,2,0)</f>
        <v>75</v>
      </c>
      <c r="J13" s="10"/>
      <c r="K13" s="7">
        <v>4444</v>
      </c>
      <c r="L13" s="7">
        <f>RANK(K13,K$8:K$18,0)</f>
        <v>9</v>
      </c>
      <c r="M13" s="7">
        <f>VLOOKUP(L13,'Место-баллы'!$A$3:$E$52,2,0)</f>
        <v>69</v>
      </c>
      <c r="N13" s="10"/>
      <c r="O13" s="7">
        <v>29</v>
      </c>
      <c r="P13" s="7">
        <f>RANK(O13,O$8:O$18,0)</f>
        <v>3</v>
      </c>
      <c r="Q13" s="7">
        <f>VLOOKUP(P13,'Место-баллы'!$A$3:$E$52,2,0)</f>
        <v>90</v>
      </c>
      <c r="R13" s="10"/>
      <c r="S13" s="7">
        <v>6</v>
      </c>
      <c r="T13" s="7">
        <v>5</v>
      </c>
      <c r="U13" s="17">
        <f>TIME(0,S13,T13)</f>
        <v>4.2245370370370371E-3</v>
      </c>
      <c r="V13" s="7">
        <v>73</v>
      </c>
      <c r="W13" s="7">
        <f>V$2-V13</f>
        <v>17</v>
      </c>
      <c r="X13" s="17">
        <f>U13+TIME(0,0,W13)</f>
        <v>4.4212962962962964E-3</v>
      </c>
      <c r="Y13" s="7">
        <f>RANK(X13,X$8:X$18,1)</f>
        <v>7</v>
      </c>
      <c r="Z13" s="7">
        <f>VLOOKUP(Y13,'Место-баллы'!$A$3:$E$52,2,0)</f>
        <v>73</v>
      </c>
      <c r="AA13" s="10"/>
      <c r="AB13" s="7">
        <v>6</v>
      </c>
      <c r="AC13" s="7">
        <v>5</v>
      </c>
      <c r="AD13" s="17">
        <f>TIME(0,AB13,AC13)</f>
        <v>4.2245370370370371E-3</v>
      </c>
      <c r="AE13" s="7">
        <f>69+7</f>
        <v>76</v>
      </c>
      <c r="AF13" s="7">
        <f>AE$2-AE13</f>
        <v>14</v>
      </c>
      <c r="AG13" s="17">
        <f>AD13+TIME(0,0,AF13)</f>
        <v>4.386574074074074E-3</v>
      </c>
      <c r="AH13" s="7">
        <f>RANK(AG13,AG$8:AG$18,1)</f>
        <v>8</v>
      </c>
      <c r="AI13" s="7">
        <f>VLOOKUP(AH13,'Место-баллы'!$A$3:$E$52,2,0)</f>
        <v>71</v>
      </c>
      <c r="AJ13" s="10"/>
      <c r="AK13" s="7">
        <v>7</v>
      </c>
      <c r="AL13" s="7">
        <v>29</v>
      </c>
      <c r="AM13" s="17">
        <f>TIME(0,AK13,AL13)</f>
        <v>5.1967592592592595E-3</v>
      </c>
      <c r="AN13" s="7">
        <v>260</v>
      </c>
      <c r="AO13" s="7">
        <f>AN$2-AN13</f>
        <v>0</v>
      </c>
      <c r="AP13" s="17">
        <f>AM13+TIME(0,0,AO13)</f>
        <v>5.1967592592592595E-3</v>
      </c>
      <c r="AQ13" s="7">
        <f>RANK(AP13,AP$8:AP$18,1)</f>
        <v>5</v>
      </c>
      <c r="AR13" s="7">
        <f>VLOOKUP(AQ13,'Место-баллы'!$A$3:$E$52,2,0)</f>
        <v>80</v>
      </c>
      <c r="AS13" s="10"/>
      <c r="AT13" s="7">
        <v>9</v>
      </c>
      <c r="AU13" s="7">
        <v>5</v>
      </c>
      <c r="AV13" s="17">
        <f>TIME(0,AT13,AU13)</f>
        <v>6.3078703703703708E-3</v>
      </c>
      <c r="AW13" s="7">
        <v>31</v>
      </c>
      <c r="AX13" s="7">
        <f>AW$2-AW13</f>
        <v>9</v>
      </c>
      <c r="AY13" s="17">
        <f>AV13+TIME(0,0,AX13)</f>
        <v>6.4120370370370373E-3</v>
      </c>
      <c r="AZ13" s="7">
        <f>RANK(AY13,AY$8:AY$18,1)</f>
        <v>4</v>
      </c>
      <c r="BA13" s="7">
        <f>VLOOKUP(AZ13,'Место-баллы'!$A$3:$E$52,2,0)</f>
        <v>85</v>
      </c>
      <c r="BB13" s="10"/>
      <c r="BC13" s="7">
        <v>3</v>
      </c>
      <c r="BD13" s="7">
        <v>5</v>
      </c>
      <c r="BE13" s="17">
        <f>TIME(0,BC13,BD13)</f>
        <v>2.1412037037037038E-3</v>
      </c>
      <c r="BF13" s="7">
        <v>40</v>
      </c>
      <c r="BG13" s="7">
        <f>BF$2-BF13</f>
        <v>2</v>
      </c>
      <c r="BH13" s="17">
        <f>BE13+TIME(0,0,BG13)</f>
        <v>2.1643518518518518E-3</v>
      </c>
      <c r="BI13" s="7">
        <f>RANK(BH13,BH$8:BH$18,1)</f>
        <v>2</v>
      </c>
      <c r="BJ13" s="7">
        <f>VLOOKUP(BI13,'Место-баллы'!$A$3:$E$52,2,0)</f>
        <v>95</v>
      </c>
      <c r="BK13" s="10"/>
      <c r="BL13" s="7"/>
      <c r="BM13" s="7"/>
      <c r="BN13" s="17"/>
      <c r="BO13" s="7"/>
      <c r="BP13" s="7"/>
      <c r="BQ13" s="17"/>
      <c r="BR13" s="7"/>
      <c r="BS13" s="7"/>
    </row>
    <row r="14" spans="1:71" x14ac:dyDescent="0.25">
      <c r="A14" s="18"/>
      <c r="B14" s="7">
        <f>RANK(C14,C$8:C$18,0)</f>
        <v>7</v>
      </c>
      <c r="C14" s="7">
        <f>SUMIF($G$1:$BS$1,1,$G14:$BS14)</f>
        <v>606</v>
      </c>
      <c r="D14" s="10"/>
      <c r="E14" s="16" t="s">
        <v>56</v>
      </c>
      <c r="F14" s="10"/>
      <c r="G14" s="7">
        <v>130</v>
      </c>
      <c r="H14" s="7">
        <f>RANK(G14,G$8:G$18,0)</f>
        <v>7</v>
      </c>
      <c r="I14" s="7">
        <f>VLOOKUP(H14,'Место-баллы'!$A$3:$E$52,2,0)</f>
        <v>73</v>
      </c>
      <c r="J14" s="10"/>
      <c r="K14" s="7">
        <v>4455</v>
      </c>
      <c r="L14" s="7">
        <f>RANK(K14,K$8:K$18,0)</f>
        <v>7</v>
      </c>
      <c r="M14" s="7">
        <f>VLOOKUP(L14,'Место-баллы'!$A$3:$E$52,2,0)</f>
        <v>73</v>
      </c>
      <c r="N14" s="10"/>
      <c r="O14" s="7">
        <v>24</v>
      </c>
      <c r="P14" s="7">
        <f>RANK(O14,O$8:O$18,0)</f>
        <v>6</v>
      </c>
      <c r="Q14" s="7">
        <f>VLOOKUP(P14,'Место-баллы'!$A$3:$E$52,2,0)</f>
        <v>75</v>
      </c>
      <c r="R14" s="10"/>
      <c r="S14" s="7">
        <v>5</v>
      </c>
      <c r="T14" s="7">
        <v>54</v>
      </c>
      <c r="U14" s="17">
        <f>TIME(0,S14,T14)</f>
        <v>4.0972222222222226E-3</v>
      </c>
      <c r="V14" s="7">
        <v>90</v>
      </c>
      <c r="W14" s="7">
        <f>V$2-V14</f>
        <v>0</v>
      </c>
      <c r="X14" s="17">
        <f>U14+TIME(0,0,W14)</f>
        <v>4.0972222222222226E-3</v>
      </c>
      <c r="Y14" s="7">
        <f>RANK(X14,X$8:X$18,1)</f>
        <v>6</v>
      </c>
      <c r="Z14" s="7">
        <f>VLOOKUP(Y14,'Место-баллы'!$A$3:$E$52,2,0)</f>
        <v>75</v>
      </c>
      <c r="AA14" s="10"/>
      <c r="AB14" s="7">
        <v>6</v>
      </c>
      <c r="AC14" s="7">
        <v>5</v>
      </c>
      <c r="AD14" s="17">
        <f>TIME(0,AB14,AC14)</f>
        <v>4.2245370370370371E-3</v>
      </c>
      <c r="AE14" s="7">
        <f>48+14</f>
        <v>62</v>
      </c>
      <c r="AF14" s="7">
        <f>AE$2-AE14</f>
        <v>28</v>
      </c>
      <c r="AG14" s="17">
        <f>AD14+TIME(0,0,AF14)</f>
        <v>4.5486111111111109E-3</v>
      </c>
      <c r="AH14" s="7">
        <f>RANK(AG14,AG$8:AG$18,1)</f>
        <v>11</v>
      </c>
      <c r="AI14" s="7">
        <f>VLOOKUP(AH14,'Место-баллы'!$A$3:$E$52,2,0)</f>
        <v>65</v>
      </c>
      <c r="AJ14" s="10"/>
      <c r="AK14" s="7">
        <v>7</v>
      </c>
      <c r="AL14" s="7">
        <v>47</v>
      </c>
      <c r="AM14" s="17">
        <f>TIME(0,AK14,AL14)</f>
        <v>5.4050925925925924E-3</v>
      </c>
      <c r="AN14" s="7">
        <v>260</v>
      </c>
      <c r="AO14" s="7">
        <f>AN$2-AN14</f>
        <v>0</v>
      </c>
      <c r="AP14" s="17">
        <f>AM14+TIME(0,0,AO14)</f>
        <v>5.4050925925925924E-3</v>
      </c>
      <c r="AQ14" s="7">
        <f>RANK(AP14,AP$8:AP$18,1)</f>
        <v>6</v>
      </c>
      <c r="AR14" s="7">
        <f>VLOOKUP(AQ14,'Место-баллы'!$A$3:$E$52,2,0)</f>
        <v>75</v>
      </c>
      <c r="AS14" s="10"/>
      <c r="AT14" s="7">
        <v>9</v>
      </c>
      <c r="AU14" s="7">
        <v>5</v>
      </c>
      <c r="AV14" s="17">
        <f>TIME(0,AT14,AU14)</f>
        <v>6.3078703703703708E-3</v>
      </c>
      <c r="AW14" s="7">
        <v>30</v>
      </c>
      <c r="AX14" s="7">
        <f>AW$2-AW14</f>
        <v>10</v>
      </c>
      <c r="AY14" s="17">
        <f>AV14+TIME(0,0,AX14)</f>
        <v>6.4236111111111117E-3</v>
      </c>
      <c r="AZ14" s="7">
        <f>RANK(AY14,AY$8:AY$18,1)</f>
        <v>6</v>
      </c>
      <c r="BA14" s="7">
        <f>VLOOKUP(AZ14,'Место-баллы'!$A$3:$E$52,2,0)</f>
        <v>75</v>
      </c>
      <c r="BB14" s="10"/>
      <c r="BC14" s="7">
        <v>3</v>
      </c>
      <c r="BD14" s="7">
        <v>5</v>
      </c>
      <c r="BE14" s="17">
        <f>TIME(0,BC14,BD14)</f>
        <v>2.1412037037037038E-3</v>
      </c>
      <c r="BF14" s="7">
        <v>40</v>
      </c>
      <c r="BG14" s="7">
        <f>BF$2-BF14</f>
        <v>2</v>
      </c>
      <c r="BH14" s="17">
        <f>BE14+TIME(0,0,BG14)</f>
        <v>2.1643518518518518E-3</v>
      </c>
      <c r="BI14" s="7">
        <f>RANK(BH14,BH$8:BH$18,1)</f>
        <v>2</v>
      </c>
      <c r="BJ14" s="7">
        <f>VLOOKUP(BI14,'Место-баллы'!$A$3:$E$52,2,0)</f>
        <v>95</v>
      </c>
      <c r="BK14" s="10"/>
      <c r="BL14" s="7"/>
      <c r="BM14" s="7"/>
      <c r="BN14" s="17"/>
      <c r="BO14" s="7"/>
      <c r="BP14" s="7"/>
      <c r="BQ14" s="17"/>
      <c r="BR14" s="7"/>
      <c r="BS14" s="7"/>
    </row>
    <row r="15" spans="1:71" x14ac:dyDescent="0.25">
      <c r="A15" s="18"/>
      <c r="B15" s="7">
        <f>RANK(C15,C$8:C$18,0)</f>
        <v>8</v>
      </c>
      <c r="C15" s="7">
        <f>SUMIF($G$1:$BS$1,1,$G15:$BS15)</f>
        <v>567</v>
      </c>
      <c r="D15" s="10"/>
      <c r="E15" s="16" t="s">
        <v>51</v>
      </c>
      <c r="F15" s="10"/>
      <c r="G15" s="7">
        <v>120</v>
      </c>
      <c r="H15" s="7">
        <f>RANK(G15,G$8:G$18,0)</f>
        <v>11</v>
      </c>
      <c r="I15" s="7">
        <f>VLOOKUP(H15,'Место-баллы'!$A$3:$E$52,2,0)</f>
        <v>65</v>
      </c>
      <c r="J15" s="10"/>
      <c r="K15" s="7">
        <v>4557</v>
      </c>
      <c r="L15" s="7">
        <f>RANK(K15,K$8:K$18,0)</f>
        <v>5</v>
      </c>
      <c r="M15" s="7">
        <f>VLOOKUP(L15,'Место-баллы'!$A$3:$E$52,2,0)</f>
        <v>80</v>
      </c>
      <c r="N15" s="10"/>
      <c r="O15" s="7">
        <v>27</v>
      </c>
      <c r="P15" s="7">
        <f>RANK(O15,O$8:O$18,0)</f>
        <v>4</v>
      </c>
      <c r="Q15" s="7">
        <f>VLOOKUP(P15,'Место-баллы'!$A$3:$E$52,2,0)</f>
        <v>85</v>
      </c>
      <c r="R15" s="10"/>
      <c r="S15" s="7">
        <v>6</v>
      </c>
      <c r="T15" s="7">
        <v>5</v>
      </c>
      <c r="U15" s="17">
        <f>TIME(0,S15,T15)</f>
        <v>4.2245370370370371E-3</v>
      </c>
      <c r="V15" s="7">
        <f>42+7</f>
        <v>49</v>
      </c>
      <c r="W15" s="7">
        <f>V$2-V15</f>
        <v>41</v>
      </c>
      <c r="X15" s="17">
        <f>U15+TIME(0,0,W15)</f>
        <v>4.6990740740740743E-3</v>
      </c>
      <c r="Y15" s="7">
        <f>RANK(X15,X$8:X$18,1)</f>
        <v>10</v>
      </c>
      <c r="Z15" s="7">
        <f>VLOOKUP(Y15,'Место-баллы'!$A$3:$E$52,2,0)</f>
        <v>67</v>
      </c>
      <c r="AA15" s="10"/>
      <c r="AB15" s="7">
        <v>6</v>
      </c>
      <c r="AC15" s="7">
        <v>5</v>
      </c>
      <c r="AD15" s="17">
        <f>TIME(0,AB15,AC15)</f>
        <v>4.2245370370370371E-3</v>
      </c>
      <c r="AE15" s="7">
        <f>48+15</f>
        <v>63</v>
      </c>
      <c r="AF15" s="7">
        <f>AE$2-AE15</f>
        <v>27</v>
      </c>
      <c r="AG15" s="17">
        <f>AD15+TIME(0,0,AF15)</f>
        <v>4.5370370370370373E-3</v>
      </c>
      <c r="AH15" s="7">
        <f>RANK(AG15,AG$8:AG$18,1)</f>
        <v>10</v>
      </c>
      <c r="AI15" s="7">
        <f>VLOOKUP(AH15,'Место-баллы'!$A$3:$E$52,2,0)</f>
        <v>67</v>
      </c>
      <c r="AJ15" s="10"/>
      <c r="AK15" s="7">
        <v>9</v>
      </c>
      <c r="AL15" s="7">
        <v>5</v>
      </c>
      <c r="AM15" s="17">
        <f>TIME(0,AK15,AL15)</f>
        <v>6.3078703703703708E-3</v>
      </c>
      <c r="AN15" s="7">
        <v>228</v>
      </c>
      <c r="AO15" s="7">
        <f>AN$2-AN15</f>
        <v>32</v>
      </c>
      <c r="AP15" s="17">
        <f>AM15+TIME(0,0,AO15)</f>
        <v>6.6782407407407415E-3</v>
      </c>
      <c r="AQ15" s="7">
        <f>RANK(AP15,AP$8:AP$18,1)</f>
        <v>10</v>
      </c>
      <c r="AR15" s="7">
        <f>VLOOKUP(AQ15,'Место-баллы'!$A$3:$E$52,2,0)</f>
        <v>67</v>
      </c>
      <c r="AS15" s="10"/>
      <c r="AT15" s="7">
        <v>9</v>
      </c>
      <c r="AU15" s="7">
        <v>5</v>
      </c>
      <c r="AV15" s="17">
        <f>TIME(0,AT15,AU15)</f>
        <v>6.3078703703703708E-3</v>
      </c>
      <c r="AW15" s="7">
        <v>15</v>
      </c>
      <c r="AX15" s="7">
        <f>AW$2-AW15</f>
        <v>25</v>
      </c>
      <c r="AY15" s="17">
        <f>AV15+TIME(0,0,AX15)</f>
        <v>6.5972222222222231E-3</v>
      </c>
      <c r="AZ15" s="7">
        <f>RANK(AY15,AY$8:AY$18,1)</f>
        <v>10</v>
      </c>
      <c r="BA15" s="7">
        <f>VLOOKUP(AZ15,'Место-баллы'!$A$3:$E$52,2,0)</f>
        <v>67</v>
      </c>
      <c r="BB15" s="10"/>
      <c r="BC15" s="7">
        <v>3</v>
      </c>
      <c r="BD15" s="7">
        <v>5</v>
      </c>
      <c r="BE15" s="17">
        <f>TIME(0,BC15,BD15)</f>
        <v>2.1412037037037038E-3</v>
      </c>
      <c r="BF15" s="7">
        <v>29</v>
      </c>
      <c r="BG15" s="7">
        <f>BF$2-BF15</f>
        <v>13</v>
      </c>
      <c r="BH15" s="17">
        <f>BE15+TIME(0,0,BG15)</f>
        <v>2.2916666666666667E-3</v>
      </c>
      <c r="BI15" s="7">
        <f>RANK(BH15,BH$8:BH$18,1)</f>
        <v>9</v>
      </c>
      <c r="BJ15" s="7">
        <f>VLOOKUP(BI15,'Место-баллы'!$A$3:$E$52,2,0)</f>
        <v>69</v>
      </c>
      <c r="BK15" s="10"/>
      <c r="BL15" s="7"/>
      <c r="BM15" s="7"/>
      <c r="BN15" s="17"/>
      <c r="BO15" s="7"/>
      <c r="BP15" s="7"/>
      <c r="BQ15" s="17"/>
      <c r="BR15" s="7"/>
      <c r="BS15" s="7"/>
    </row>
    <row r="16" spans="1:71" x14ac:dyDescent="0.25">
      <c r="A16" s="18"/>
      <c r="B16" s="7">
        <f>RANK(C16,C$8:C$18,0)</f>
        <v>9</v>
      </c>
      <c r="C16" s="7">
        <f>SUMIF($G$1:$BS$1,1,$G16:$BS16)</f>
        <v>562</v>
      </c>
      <c r="D16" s="10"/>
      <c r="E16" s="16" t="s">
        <v>54</v>
      </c>
      <c r="F16" s="10"/>
      <c r="G16" s="7">
        <v>122</v>
      </c>
      <c r="H16" s="7">
        <f>RANK(G16,G$8:G$18,0)</f>
        <v>9</v>
      </c>
      <c r="I16" s="7">
        <f>VLOOKUP(H16,'Место-баллы'!$A$3:$E$52,2,0)</f>
        <v>69</v>
      </c>
      <c r="J16" s="10"/>
      <c r="K16" s="7">
        <v>4447</v>
      </c>
      <c r="L16" s="7">
        <f>RANK(K16,K$8:K$18,0)</f>
        <v>8</v>
      </c>
      <c r="M16" s="7">
        <f>VLOOKUP(L16,'Место-баллы'!$A$3:$E$52,2,0)</f>
        <v>71</v>
      </c>
      <c r="N16" s="10"/>
      <c r="O16" s="7">
        <v>15</v>
      </c>
      <c r="P16" s="7">
        <f>RANK(O16,O$8:O$18,0)</f>
        <v>9</v>
      </c>
      <c r="Q16" s="7">
        <f>VLOOKUP(P16,'Место-баллы'!$A$3:$E$52,2,0)</f>
        <v>69</v>
      </c>
      <c r="R16" s="10"/>
      <c r="S16" s="7">
        <v>6</v>
      </c>
      <c r="T16" s="7">
        <v>5</v>
      </c>
      <c r="U16" s="17">
        <f>TIME(0,S16,T16)</f>
        <v>4.2245370370370371E-3</v>
      </c>
      <c r="V16" s="7">
        <v>57</v>
      </c>
      <c r="W16" s="7">
        <f>V$2-V16</f>
        <v>33</v>
      </c>
      <c r="X16" s="17">
        <f>U16+TIME(0,0,W16)</f>
        <v>4.6064814814814814E-3</v>
      </c>
      <c r="Y16" s="7">
        <f>RANK(X16,X$8:X$18,1)</f>
        <v>8</v>
      </c>
      <c r="Z16" s="7">
        <f>VLOOKUP(Y16,'Место-баллы'!$A$3:$E$52,2,0)</f>
        <v>71</v>
      </c>
      <c r="AA16" s="10"/>
      <c r="AB16" s="7">
        <v>6</v>
      </c>
      <c r="AC16" s="7">
        <v>5</v>
      </c>
      <c r="AD16" s="17">
        <f>TIME(0,AB16,AC16)</f>
        <v>4.2245370370370371E-3</v>
      </c>
      <c r="AE16" s="7">
        <f>69+5</f>
        <v>74</v>
      </c>
      <c r="AF16" s="7">
        <f>AE$2-AE16</f>
        <v>16</v>
      </c>
      <c r="AG16" s="17">
        <f>AD16+TIME(0,0,AF16)</f>
        <v>4.409722222222222E-3</v>
      </c>
      <c r="AH16" s="7">
        <f>RANK(AG16,AG$8:AG$18,1)</f>
        <v>9</v>
      </c>
      <c r="AI16" s="7">
        <f>VLOOKUP(AH16,'Место-баллы'!$A$3:$E$52,2,0)</f>
        <v>69</v>
      </c>
      <c r="AJ16" s="10"/>
      <c r="AK16" s="7">
        <v>8</v>
      </c>
      <c r="AL16" s="7">
        <v>3</v>
      </c>
      <c r="AM16" s="17">
        <f>TIME(0,AK16,AL16)</f>
        <v>5.5902777777777782E-3</v>
      </c>
      <c r="AN16" s="7">
        <v>260</v>
      </c>
      <c r="AO16" s="7">
        <f>AN$2-AN16</f>
        <v>0</v>
      </c>
      <c r="AP16" s="17">
        <f>AM16+TIME(0,0,AO16)</f>
        <v>5.5902777777777782E-3</v>
      </c>
      <c r="AQ16" s="7">
        <f>RANK(AP16,AP$8:AP$18,1)</f>
        <v>8</v>
      </c>
      <c r="AR16" s="7">
        <f>VLOOKUP(AQ16,'Место-баллы'!$A$3:$E$52,2,0)</f>
        <v>71</v>
      </c>
      <c r="AS16" s="10"/>
      <c r="AT16" s="7">
        <v>9</v>
      </c>
      <c r="AU16" s="7">
        <v>5</v>
      </c>
      <c r="AV16" s="17">
        <f>TIME(0,AT16,AU16)</f>
        <v>6.3078703703703708E-3</v>
      </c>
      <c r="AW16" s="7">
        <v>19</v>
      </c>
      <c r="AX16" s="7">
        <f>AW$2-AW16</f>
        <v>21</v>
      </c>
      <c r="AY16" s="17">
        <f>AV16+TIME(0,0,AX16)</f>
        <v>6.5509259259259262E-3</v>
      </c>
      <c r="AZ16" s="7">
        <f>RANK(AY16,AY$8:AY$18,1)</f>
        <v>8</v>
      </c>
      <c r="BA16" s="7">
        <f>VLOOKUP(AZ16,'Место-баллы'!$A$3:$E$52,2,0)</f>
        <v>71</v>
      </c>
      <c r="BB16" s="10"/>
      <c r="BC16" s="7">
        <v>3</v>
      </c>
      <c r="BD16" s="7">
        <v>5</v>
      </c>
      <c r="BE16" s="17">
        <f>TIME(0,BC16,BD16)</f>
        <v>2.1412037037037038E-3</v>
      </c>
      <c r="BF16" s="7">
        <v>32</v>
      </c>
      <c r="BG16" s="7">
        <f>BF$2-BF16</f>
        <v>10</v>
      </c>
      <c r="BH16" s="17">
        <f>BE16+TIME(0,0,BG16)</f>
        <v>2.2569444444444447E-3</v>
      </c>
      <c r="BI16" s="7">
        <f>RANK(BH16,BH$8:BH$18,1)</f>
        <v>8</v>
      </c>
      <c r="BJ16" s="7">
        <f>VLOOKUP(BI16,'Место-баллы'!$A$3:$E$52,2,0)</f>
        <v>71</v>
      </c>
      <c r="BK16" s="10"/>
      <c r="BL16" s="7"/>
      <c r="BM16" s="7"/>
      <c r="BN16" s="17"/>
      <c r="BO16" s="7"/>
      <c r="BP16" s="7"/>
      <c r="BQ16" s="17"/>
      <c r="BR16" s="7"/>
      <c r="BS16" s="7"/>
    </row>
    <row r="17" spans="1:71" x14ac:dyDescent="0.25">
      <c r="A17" s="18"/>
      <c r="B17" s="7">
        <f>RANK(C17,C$8:C$18,0)</f>
        <v>10</v>
      </c>
      <c r="C17" s="7">
        <f>SUMIF($G$1:$BS$1,1,$G17:$BS17)</f>
        <v>547</v>
      </c>
      <c r="D17" s="10"/>
      <c r="E17" s="16" t="s">
        <v>55</v>
      </c>
      <c r="F17" s="10"/>
      <c r="G17" s="7">
        <v>122</v>
      </c>
      <c r="H17" s="7">
        <f>RANK(G17,G$8:G$18,0)</f>
        <v>9</v>
      </c>
      <c r="I17" s="7">
        <f>VLOOKUP(H17,'Место-баллы'!$A$3:$E$52,2,0)</f>
        <v>69</v>
      </c>
      <c r="J17" s="10"/>
      <c r="K17" s="7">
        <v>4238</v>
      </c>
      <c r="L17" s="7">
        <f>RANK(K17,K$8:K$18,0)</f>
        <v>11</v>
      </c>
      <c r="M17" s="7">
        <f>VLOOKUP(L17,'Место-баллы'!$A$3:$E$52,2,0)</f>
        <v>65</v>
      </c>
      <c r="N17" s="10"/>
      <c r="O17" s="7">
        <v>13</v>
      </c>
      <c r="P17" s="7">
        <f>RANK(O17,O$8:O$18,0)</f>
        <v>10</v>
      </c>
      <c r="Q17" s="7">
        <f>VLOOKUP(P17,'Место-баллы'!$A$3:$E$52,2,0)</f>
        <v>67</v>
      </c>
      <c r="R17" s="10"/>
      <c r="S17" s="7">
        <v>6</v>
      </c>
      <c r="T17" s="7">
        <v>5</v>
      </c>
      <c r="U17" s="17">
        <f>TIME(0,S17,T17)</f>
        <v>4.2245370370370371E-3</v>
      </c>
      <c r="V17" s="7">
        <v>42</v>
      </c>
      <c r="W17" s="7">
        <f>V$2-V17</f>
        <v>48</v>
      </c>
      <c r="X17" s="17">
        <f>U17+TIME(0,0,W17)</f>
        <v>4.7800925925925927E-3</v>
      </c>
      <c r="Y17" s="7">
        <f>RANK(X17,X$8:X$18,1)</f>
        <v>11</v>
      </c>
      <c r="Z17" s="7">
        <f>VLOOKUP(Y17,'Место-баллы'!$A$3:$E$52,2,0)</f>
        <v>65</v>
      </c>
      <c r="AA17" s="10"/>
      <c r="AB17" s="7">
        <v>6</v>
      </c>
      <c r="AC17" s="7">
        <v>5</v>
      </c>
      <c r="AD17" s="17">
        <f>TIME(0,AB17,AC17)</f>
        <v>4.2245370370370371E-3</v>
      </c>
      <c r="AE17" s="7">
        <f>69+14</f>
        <v>83</v>
      </c>
      <c r="AF17" s="7">
        <f>AE$2-AE17</f>
        <v>7</v>
      </c>
      <c r="AG17" s="17">
        <f>AD17+TIME(0,0,AF17)</f>
        <v>4.3055555555555555E-3</v>
      </c>
      <c r="AH17" s="7">
        <f>RANK(AG17,AG$8:AG$18,1)</f>
        <v>5</v>
      </c>
      <c r="AI17" s="7">
        <f>VLOOKUP(AH17,'Место-баллы'!$A$3:$E$52,2,0)</f>
        <v>80</v>
      </c>
      <c r="AJ17" s="10"/>
      <c r="AK17" s="7">
        <v>9</v>
      </c>
      <c r="AL17" s="7">
        <v>5</v>
      </c>
      <c r="AM17" s="17">
        <f>TIME(0,AK17,AL17)</f>
        <v>6.3078703703703708E-3</v>
      </c>
      <c r="AN17" s="7">
        <f>160+70</f>
        <v>230</v>
      </c>
      <c r="AO17" s="7">
        <f>AN$2-AN17</f>
        <v>30</v>
      </c>
      <c r="AP17" s="17">
        <f>AM17+TIME(0,0,AO17)</f>
        <v>6.6550925925925927E-3</v>
      </c>
      <c r="AQ17" s="7">
        <f>RANK(AP17,AP$8:AP$18,1)</f>
        <v>9</v>
      </c>
      <c r="AR17" s="7">
        <f>VLOOKUP(AQ17,'Место-баллы'!$A$3:$E$52,2,0)</f>
        <v>69</v>
      </c>
      <c r="AS17" s="10"/>
      <c r="AT17" s="7">
        <v>9</v>
      </c>
      <c r="AU17" s="7">
        <v>5</v>
      </c>
      <c r="AV17" s="17">
        <f>TIME(0,AT17,AU17)</f>
        <v>6.3078703703703708E-3</v>
      </c>
      <c r="AW17" s="7">
        <v>3</v>
      </c>
      <c r="AX17" s="7">
        <f>AW$2-AW17</f>
        <v>37</v>
      </c>
      <c r="AY17" s="17">
        <f>AV17+TIME(0,0,AX17)</f>
        <v>6.7361111111111111E-3</v>
      </c>
      <c r="AZ17" s="7">
        <f>RANK(AY17,AY$8:AY$18,1)</f>
        <v>11</v>
      </c>
      <c r="BA17" s="7">
        <f>VLOOKUP(AZ17,'Место-баллы'!$A$3:$E$52,2,0)</f>
        <v>65</v>
      </c>
      <c r="BB17" s="10"/>
      <c r="BC17" s="7">
        <v>3</v>
      </c>
      <c r="BD17" s="7">
        <v>5</v>
      </c>
      <c r="BE17" s="17">
        <f>TIME(0,BC17,BD17)</f>
        <v>2.1412037037037038E-3</v>
      </c>
      <c r="BF17" s="7">
        <v>20</v>
      </c>
      <c r="BG17" s="7">
        <f>BF$2-BF17</f>
        <v>22</v>
      </c>
      <c r="BH17" s="17">
        <f>BE17+TIME(0,0,BG17)</f>
        <v>2.3958333333333331E-3</v>
      </c>
      <c r="BI17" s="7">
        <f>RANK(BH17,BH$8:BH$18,1)</f>
        <v>10</v>
      </c>
      <c r="BJ17" s="7">
        <f>VLOOKUP(BI17,'Место-баллы'!$A$3:$E$52,2,0)</f>
        <v>67</v>
      </c>
      <c r="BK17" s="10"/>
      <c r="BL17" s="7"/>
      <c r="BM17" s="7"/>
      <c r="BN17" s="17"/>
      <c r="BO17" s="7"/>
      <c r="BP17" s="7"/>
      <c r="BQ17" s="17"/>
      <c r="BR17" s="7"/>
      <c r="BS17" s="7"/>
    </row>
    <row r="18" spans="1:71" x14ac:dyDescent="0.25">
      <c r="A18" s="18"/>
      <c r="B18" s="7">
        <f>RANK(C18,C$8:C$18,0)</f>
        <v>11</v>
      </c>
      <c r="C18" s="7">
        <f>SUMIF($G$1:$BS$1,1,$G18:$BS18)</f>
        <v>483</v>
      </c>
      <c r="D18" s="10"/>
      <c r="E18" s="16" t="s">
        <v>49</v>
      </c>
      <c r="F18" s="10"/>
      <c r="G18" s="7">
        <v>130</v>
      </c>
      <c r="H18" s="7">
        <f>RANK(G18,G$8:G$18,0)</f>
        <v>7</v>
      </c>
      <c r="I18" s="7">
        <f>VLOOKUP(H18,'Место-баллы'!$A$3:$E$52,2,0)</f>
        <v>73</v>
      </c>
      <c r="J18" s="10"/>
      <c r="K18" s="7">
        <v>4354</v>
      </c>
      <c r="L18" s="7">
        <f>RANK(K18,K$8:K$18,0)</f>
        <v>10</v>
      </c>
      <c r="M18" s="7">
        <f>VLOOKUP(L18,'Место-баллы'!$A$3:$E$52,2,0)</f>
        <v>67</v>
      </c>
      <c r="N18" s="10"/>
      <c r="O18" s="7">
        <v>13</v>
      </c>
      <c r="P18" s="7">
        <f>RANK(O18,O$8:O$18,0)</f>
        <v>10</v>
      </c>
      <c r="Q18" s="7">
        <f>VLOOKUP(P18,'Место-баллы'!$A$3:$E$52,2,0)</f>
        <v>67</v>
      </c>
      <c r="R18" s="10"/>
      <c r="S18" s="7">
        <v>6</v>
      </c>
      <c r="T18" s="7">
        <v>5</v>
      </c>
      <c r="U18" s="17">
        <f>TIME(0,S18,T18)</f>
        <v>4.2245370370370371E-3</v>
      </c>
      <c r="V18" s="7">
        <f>42+14</f>
        <v>56</v>
      </c>
      <c r="W18" s="7">
        <f>V$2-V18</f>
        <v>34</v>
      </c>
      <c r="X18" s="17">
        <f>U18+TIME(0,0,W18)</f>
        <v>4.6180555555555558E-3</v>
      </c>
      <c r="Y18" s="7">
        <f>RANK(X18,X$8:X$18,1)</f>
        <v>9</v>
      </c>
      <c r="Z18" s="7">
        <f>VLOOKUP(Y18,'Место-баллы'!$A$3:$E$52,2,0)</f>
        <v>69</v>
      </c>
      <c r="AA18" s="10"/>
      <c r="AB18" s="7">
        <v>6</v>
      </c>
      <c r="AC18" s="7">
        <v>5</v>
      </c>
      <c r="AD18" s="17">
        <f>TIME(0,AB18,AC18)</f>
        <v>4.2245370370370371E-3</v>
      </c>
      <c r="AE18" s="7">
        <f>69+11</f>
        <v>80</v>
      </c>
      <c r="AF18" s="7">
        <f>AE$2-AE18</f>
        <v>10</v>
      </c>
      <c r="AG18" s="17">
        <f>AD18+TIME(0,0,AF18)</f>
        <v>4.340277777777778E-3</v>
      </c>
      <c r="AH18" s="7">
        <f>RANK(AG18,AG$8:AG$18,1)</f>
        <v>7</v>
      </c>
      <c r="AI18" s="7">
        <f>VLOOKUP(AH18,'Место-баллы'!$A$3:$E$52,2,0)</f>
        <v>73</v>
      </c>
      <c r="AJ18" s="10"/>
      <c r="AK18" s="7">
        <v>9</v>
      </c>
      <c r="AL18" s="7">
        <v>5</v>
      </c>
      <c r="AM18" s="17">
        <f>TIME(0,AK18,AL18)</f>
        <v>6.3078703703703708E-3</v>
      </c>
      <c r="AN18" s="7">
        <f>160+65</f>
        <v>225</v>
      </c>
      <c r="AO18" s="7">
        <f>AN$2-AN18</f>
        <v>35</v>
      </c>
      <c r="AP18" s="17">
        <f>AM18+TIME(0,0,AO18)</f>
        <v>6.7129629629629631E-3</v>
      </c>
      <c r="AQ18" s="7">
        <f>RANK(AP18,AP$8:AP$18,1)</f>
        <v>11</v>
      </c>
      <c r="AR18" s="7">
        <f>VLOOKUP(AQ18,'Место-баллы'!$A$3:$E$52,2,0)</f>
        <v>65</v>
      </c>
      <c r="AS18" s="10"/>
      <c r="AT18" s="7">
        <v>9</v>
      </c>
      <c r="AU18" s="7">
        <v>5</v>
      </c>
      <c r="AV18" s="17">
        <f>TIME(0,AT18,AU18)</f>
        <v>6.3078703703703708E-3</v>
      </c>
      <c r="AW18" s="7">
        <v>16</v>
      </c>
      <c r="AX18" s="7">
        <f>AW$2-AW18</f>
        <v>24</v>
      </c>
      <c r="AY18" s="17">
        <f>AV18+TIME(0,0,AX18)</f>
        <v>6.5856481481481486E-3</v>
      </c>
      <c r="AZ18" s="7">
        <f>RANK(AY18,AY$8:AY$18,1)</f>
        <v>9</v>
      </c>
      <c r="BA18" s="7">
        <f>VLOOKUP(AZ18,'Место-баллы'!$A$3:$E$52,2,0)</f>
        <v>69</v>
      </c>
      <c r="BB18" s="10"/>
      <c r="BC18" s="7"/>
      <c r="BD18" s="7"/>
      <c r="BE18" s="17"/>
      <c r="BF18" s="7"/>
      <c r="BG18" s="7"/>
      <c r="BH18" s="17"/>
      <c r="BI18" s="7"/>
      <c r="BJ18" s="21" t="s">
        <v>88</v>
      </c>
      <c r="BK18" s="10"/>
      <c r="BL18" s="7"/>
      <c r="BM18" s="7"/>
      <c r="BN18" s="17"/>
      <c r="BO18" s="7"/>
      <c r="BP18" s="7"/>
      <c r="BQ18" s="17"/>
      <c r="BR18" s="7"/>
      <c r="BS18" s="7"/>
    </row>
    <row r="19" spans="1:71" ht="15.75" customHeight="1" x14ac:dyDescent="0.25">
      <c r="A19" s="18"/>
    </row>
    <row r="20" spans="1:71" ht="15.75" customHeight="1" x14ac:dyDescent="0.25">
      <c r="A20" s="18"/>
    </row>
    <row r="21" spans="1:71" ht="15.75" customHeight="1" x14ac:dyDescent="0.25"/>
    <row r="22" spans="1:71" ht="15.75" customHeight="1" x14ac:dyDescent="0.25"/>
    <row r="23" spans="1:71" ht="15.75" customHeight="1" x14ac:dyDescent="0.25"/>
    <row r="24" spans="1:71" ht="15.75" customHeight="1" x14ac:dyDescent="0.25"/>
    <row r="25" spans="1:71" ht="15.75" customHeight="1" x14ac:dyDescent="0.25"/>
    <row r="26" spans="1:71" ht="15.75" customHeight="1" x14ac:dyDescent="0.25"/>
    <row r="27" spans="1:71" ht="15.75" customHeight="1" x14ac:dyDescent="0.25"/>
    <row r="28" spans="1:71" ht="15.75" customHeight="1" x14ac:dyDescent="0.25"/>
    <row r="29" spans="1:71" ht="15.75" customHeight="1" x14ac:dyDescent="0.25"/>
    <row r="30" spans="1:71" ht="15.75" customHeight="1" x14ac:dyDescent="0.25"/>
    <row r="31" spans="1:71" ht="15.75" customHeight="1" x14ac:dyDescent="0.25"/>
    <row r="32" spans="1:7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</sheetData>
  <mergeCells count="11">
    <mergeCell ref="BL5:BS6"/>
    <mergeCell ref="K5:M6"/>
    <mergeCell ref="B5:C6"/>
    <mergeCell ref="E5:E6"/>
    <mergeCell ref="G5:I6"/>
    <mergeCell ref="O5:Q6"/>
    <mergeCell ref="AK5:AR6"/>
    <mergeCell ref="AT5:BA6"/>
    <mergeCell ref="BC5:BJ6"/>
    <mergeCell ref="S5:Z6"/>
    <mergeCell ref="AB5:AI6"/>
  </mergeCells>
  <printOptions horizontalCentered="1" verticalCentered="1"/>
  <pageMargins left="0" right="0" top="0" bottom="0" header="0" footer="0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3060F-BA0B-40DA-8F9A-874B44E3D5CD}">
  <sheetPr>
    <pageSetUpPr fitToPage="1"/>
  </sheetPr>
  <dimension ref="A1:BT97"/>
  <sheetViews>
    <sheetView tabSelected="1" zoomScaleNormal="100" workbookViewId="0">
      <pane xSplit="5" ySplit="7" topLeftCell="M8" activePane="bottomRight" state="frozen"/>
      <selection pane="topRight" activeCell="F1" sqref="F1"/>
      <selection pane="bottomLeft" activeCell="A8" sqref="A8"/>
      <selection pane="bottomRight" activeCell="AS15" sqref="AS15"/>
    </sheetView>
  </sheetViews>
  <sheetFormatPr defaultColWidth="14.42578125" defaultRowHeight="15" customHeight="1" outlineLevelCol="1" x14ac:dyDescent="0.25"/>
  <cols>
    <col min="1" max="1" width="8.7109375" customWidth="1"/>
    <col min="2" max="2" width="9" customWidth="1"/>
    <col min="3" max="3" width="7.42578125" customWidth="1"/>
    <col min="4" max="4" width="1.42578125" customWidth="1"/>
    <col min="5" max="5" width="24.5703125" bestFit="1" customWidth="1"/>
    <col min="6" max="6" width="1.42578125" customWidth="1"/>
    <col min="7" max="7" width="6.85546875" hidden="1" customWidth="1" outlineLevel="1"/>
    <col min="8" max="8" width="7.140625" customWidth="1" collapsed="1"/>
    <col min="9" max="9" width="6.85546875" customWidth="1"/>
    <col min="10" max="10" width="1.42578125" customWidth="1"/>
    <col min="11" max="11" width="8.7109375" hidden="1" customWidth="1" outlineLevel="1"/>
    <col min="12" max="12" width="6.85546875" hidden="1" customWidth="1" outlineLevel="1"/>
    <col min="13" max="13" width="7.140625" customWidth="1" collapsed="1"/>
    <col min="14" max="14" width="6.85546875" customWidth="1"/>
    <col min="15" max="15" width="1.42578125" customWidth="1"/>
    <col min="16" max="16" width="6.85546875" hidden="1" customWidth="1" outlineLevel="1"/>
    <col min="17" max="17" width="7.140625" customWidth="1" collapsed="1"/>
    <col min="18" max="18" width="6.85546875" customWidth="1"/>
    <col min="19" max="19" width="1.42578125" customWidth="1"/>
    <col min="20" max="20" width="5.140625" hidden="1" customWidth="1" outlineLevel="1"/>
    <col min="21" max="21" width="4.28515625" hidden="1" customWidth="1" outlineLevel="1"/>
    <col min="22" max="22" width="7.140625" hidden="1" customWidth="1" outlineLevel="1"/>
    <col min="23" max="23" width="6.85546875" hidden="1" customWidth="1" outlineLevel="1"/>
    <col min="24" max="24" width="7.85546875" hidden="1" customWidth="1" outlineLevel="1"/>
    <col min="25" max="25" width="7.140625" hidden="1" customWidth="1" outlineLevel="1"/>
    <col min="26" max="26" width="7.140625" customWidth="1" collapsed="1"/>
    <col min="27" max="27" width="6.85546875" customWidth="1"/>
    <col min="28" max="28" width="1.42578125" customWidth="1"/>
    <col min="29" max="29" width="5.140625" hidden="1" customWidth="1" outlineLevel="1"/>
    <col min="30" max="30" width="4.28515625" hidden="1" customWidth="1" outlineLevel="1"/>
    <col min="31" max="31" width="7.140625" hidden="1" customWidth="1" outlineLevel="1"/>
    <col min="32" max="32" width="6.85546875" hidden="1" customWidth="1" outlineLevel="1"/>
    <col min="33" max="33" width="7.85546875" hidden="1" customWidth="1" outlineLevel="1"/>
    <col min="34" max="34" width="7.140625" hidden="1" customWidth="1" outlineLevel="1"/>
    <col min="35" max="35" width="7.140625" customWidth="1" collapsed="1"/>
    <col min="36" max="36" width="6.85546875" customWidth="1"/>
    <col min="37" max="37" width="1.42578125" customWidth="1"/>
    <col min="38" max="38" width="5.140625" hidden="1" customWidth="1" outlineLevel="1"/>
    <col min="39" max="39" width="4.28515625" hidden="1" customWidth="1" outlineLevel="1"/>
    <col min="40" max="40" width="7.140625" hidden="1" customWidth="1" outlineLevel="1"/>
    <col min="41" max="41" width="6.85546875" hidden="1" customWidth="1" outlineLevel="1"/>
    <col min="42" max="42" width="7.85546875" hidden="1" customWidth="1" outlineLevel="1"/>
    <col min="43" max="43" width="7.140625" hidden="1" customWidth="1" outlineLevel="1"/>
    <col min="44" max="44" width="7.140625" customWidth="1" collapsed="1"/>
    <col min="45" max="45" width="6.85546875" customWidth="1"/>
    <col min="46" max="46" width="1.42578125" customWidth="1"/>
    <col min="47" max="47" width="5.140625" hidden="1" customWidth="1" outlineLevel="1"/>
    <col min="48" max="48" width="4.28515625" hidden="1" customWidth="1" outlineLevel="1"/>
    <col min="49" max="49" width="7.140625" hidden="1" customWidth="1" outlineLevel="1"/>
    <col min="50" max="50" width="6.85546875" hidden="1" customWidth="1" outlineLevel="1"/>
    <col min="51" max="51" width="7.85546875" hidden="1" customWidth="1" outlineLevel="1"/>
    <col min="52" max="52" width="7.140625" hidden="1" customWidth="1" outlineLevel="1"/>
    <col min="53" max="53" width="7.140625" customWidth="1" collapsed="1"/>
    <col min="54" max="54" width="6.85546875" customWidth="1"/>
    <col min="55" max="55" width="1.42578125" customWidth="1"/>
    <col min="56" max="56" width="5.140625" hidden="1" customWidth="1" outlineLevel="1"/>
    <col min="57" max="57" width="4.28515625" hidden="1" customWidth="1" outlineLevel="1"/>
    <col min="58" max="58" width="7.140625" hidden="1" customWidth="1" outlineLevel="1"/>
    <col min="59" max="59" width="6.85546875" hidden="1" customWidth="1" outlineLevel="1"/>
    <col min="60" max="60" width="7.85546875" hidden="1" customWidth="1" outlineLevel="1"/>
    <col min="61" max="61" width="7.140625" hidden="1" customWidth="1" outlineLevel="1"/>
    <col min="62" max="62" width="7.140625" customWidth="1" collapsed="1"/>
    <col min="63" max="63" width="6.85546875" customWidth="1"/>
    <col min="64" max="64" width="1.42578125" customWidth="1"/>
    <col min="65" max="65" width="5.140625" hidden="1" customWidth="1" outlineLevel="1"/>
    <col min="66" max="66" width="4.28515625" hidden="1" customWidth="1" outlineLevel="1"/>
    <col min="67" max="67" width="7.140625" customWidth="1" collapsed="1"/>
    <col min="68" max="68" width="6.85546875" customWidth="1"/>
    <col min="69" max="69" width="7.85546875" hidden="1" customWidth="1" outlineLevel="1"/>
    <col min="70" max="70" width="7.140625" hidden="1" customWidth="1" outlineLevel="1"/>
    <col min="71" max="71" width="7.140625" customWidth="1" collapsed="1"/>
    <col min="72" max="72" width="6.85546875" customWidth="1"/>
  </cols>
  <sheetData>
    <row r="1" spans="1:72" x14ac:dyDescent="0.25">
      <c r="E1" s="14"/>
      <c r="G1" s="3"/>
      <c r="H1" s="3"/>
      <c r="I1" s="4">
        <v>1</v>
      </c>
      <c r="K1" s="3"/>
      <c r="L1" s="3"/>
      <c r="M1" s="3"/>
      <c r="N1" s="4">
        <v>1</v>
      </c>
      <c r="P1" s="3"/>
      <c r="Q1" s="6"/>
      <c r="R1" s="11">
        <v>1</v>
      </c>
      <c r="T1" s="3"/>
      <c r="U1" s="3"/>
      <c r="V1" s="3"/>
      <c r="W1" s="3"/>
      <c r="X1" s="3"/>
      <c r="Y1" s="3"/>
      <c r="Z1" s="3"/>
      <c r="AA1" s="4">
        <v>1</v>
      </c>
      <c r="AC1" s="3"/>
      <c r="AD1" s="3"/>
      <c r="AE1" s="3"/>
      <c r="AF1" s="3"/>
      <c r="AG1" s="3"/>
      <c r="AH1" s="3"/>
      <c r="AI1" s="3"/>
      <c r="AJ1" s="4">
        <v>1</v>
      </c>
      <c r="AL1" s="3"/>
      <c r="AM1" s="3"/>
      <c r="AN1" s="3"/>
      <c r="AO1" s="3"/>
      <c r="AP1" s="3"/>
      <c r="AQ1" s="3"/>
      <c r="AR1" s="3"/>
      <c r="AS1" s="4">
        <v>1</v>
      </c>
      <c r="AU1" s="3"/>
      <c r="AV1" s="3"/>
      <c r="AW1" s="3"/>
      <c r="AX1" s="3"/>
      <c r="AY1" s="3"/>
      <c r="AZ1" s="3"/>
      <c r="BA1" s="3"/>
      <c r="BB1" s="4">
        <v>1</v>
      </c>
      <c r="BD1" s="3"/>
      <c r="BE1" s="3"/>
      <c r="BF1" s="3"/>
      <c r="BG1" s="3"/>
      <c r="BH1" s="3"/>
      <c r="BI1" s="3"/>
      <c r="BJ1" s="3"/>
      <c r="BK1" s="4">
        <v>1</v>
      </c>
      <c r="BM1" s="3"/>
      <c r="BN1" s="3"/>
      <c r="BO1" s="3"/>
      <c r="BP1" s="3"/>
      <c r="BQ1" s="3"/>
      <c r="BR1" s="3"/>
      <c r="BS1" s="3"/>
      <c r="BT1" s="4">
        <v>1</v>
      </c>
    </row>
    <row r="2" spans="1:72" x14ac:dyDescent="0.25">
      <c r="E2" s="14"/>
      <c r="G2" s="3"/>
      <c r="H2" s="3"/>
      <c r="I2" s="3"/>
      <c r="K2" s="3"/>
      <c r="L2" s="3"/>
      <c r="M2" s="3"/>
      <c r="N2" s="3"/>
      <c r="P2" s="3"/>
      <c r="Q2" s="3"/>
      <c r="R2" s="3"/>
      <c r="T2" s="3"/>
      <c r="U2" s="3"/>
      <c r="V2" s="3"/>
      <c r="W2" s="5">
        <f>21*2+15*2+9*2</f>
        <v>90</v>
      </c>
      <c r="X2" s="3"/>
      <c r="Y2" s="3"/>
      <c r="Z2" s="3"/>
      <c r="AA2" s="3"/>
      <c r="AC2" s="3"/>
      <c r="AD2" s="3"/>
      <c r="AE2" s="3"/>
      <c r="AF2" s="5">
        <v>90</v>
      </c>
      <c r="AG2" s="3"/>
      <c r="AH2" s="3"/>
      <c r="AI2" s="3"/>
      <c r="AJ2" s="3"/>
      <c r="AL2" s="3"/>
      <c r="AM2" s="3"/>
      <c r="AN2" s="3"/>
      <c r="AO2" s="5">
        <f>100+12*5+100</f>
        <v>260</v>
      </c>
      <c r="AP2" s="3"/>
      <c r="AQ2" s="3"/>
      <c r="AR2" s="3"/>
      <c r="AS2" s="3"/>
      <c r="AU2" s="3"/>
      <c r="AV2" s="3"/>
      <c r="AW2" s="3"/>
      <c r="AX2" s="5">
        <f>5+5+5+4+5+3+5+2+5+1</f>
        <v>40</v>
      </c>
      <c r="AY2" s="3"/>
      <c r="AZ2" s="3"/>
      <c r="BA2" s="3"/>
      <c r="BB2" s="3"/>
      <c r="BD2" s="3"/>
      <c r="BE2" s="3"/>
      <c r="BF2" s="3"/>
      <c r="BG2" s="5">
        <v>42</v>
      </c>
      <c r="BH2" s="3"/>
      <c r="BI2" s="3"/>
      <c r="BJ2" s="3"/>
      <c r="BK2" s="3"/>
      <c r="BM2" s="3"/>
      <c r="BN2" s="3"/>
      <c r="BO2" s="3"/>
      <c r="BP2" s="5">
        <v>10</v>
      </c>
      <c r="BQ2" s="3"/>
      <c r="BR2" s="3"/>
      <c r="BS2" s="3"/>
      <c r="BT2" s="3"/>
    </row>
    <row r="3" spans="1:72" x14ac:dyDescent="0.25">
      <c r="E3" s="14"/>
      <c r="G3" s="6"/>
      <c r="H3" s="3"/>
      <c r="I3" s="3"/>
      <c r="K3" s="3"/>
      <c r="L3" s="3"/>
      <c r="M3" s="3"/>
      <c r="N3" s="3"/>
      <c r="P3" s="3"/>
      <c r="Q3" s="3"/>
      <c r="R3" s="3"/>
      <c r="T3" s="3"/>
      <c r="U3" s="3"/>
      <c r="V3" s="3"/>
      <c r="W3" s="6" t="s">
        <v>30</v>
      </c>
      <c r="X3" s="3"/>
      <c r="Y3" s="3"/>
      <c r="Z3" s="3"/>
      <c r="AA3" s="3"/>
      <c r="AC3" s="3"/>
      <c r="AD3" s="3"/>
      <c r="AE3" s="3"/>
      <c r="AF3" s="6" t="s">
        <v>30</v>
      </c>
      <c r="AG3" s="3"/>
      <c r="AH3" s="3"/>
      <c r="AI3" s="3"/>
      <c r="AJ3" s="3"/>
      <c r="AL3" s="3"/>
      <c r="AM3" s="3"/>
      <c r="AN3" s="3"/>
      <c r="AO3" s="6" t="s">
        <v>20</v>
      </c>
      <c r="AP3" s="3"/>
      <c r="AQ3" s="3"/>
      <c r="AR3" s="3"/>
      <c r="AS3" s="3"/>
      <c r="AU3" s="3"/>
      <c r="AV3" s="3"/>
      <c r="AW3" s="3"/>
      <c r="AX3" s="6" t="s">
        <v>20</v>
      </c>
      <c r="AY3" s="3"/>
      <c r="AZ3" s="3"/>
      <c r="BA3" s="3"/>
      <c r="BB3" s="3"/>
      <c r="BD3" s="3"/>
      <c r="BE3" s="3"/>
      <c r="BF3" s="3"/>
      <c r="BG3" s="6" t="s">
        <v>85</v>
      </c>
      <c r="BH3" s="3"/>
      <c r="BI3" s="3"/>
      <c r="BJ3" s="3"/>
      <c r="BK3" s="3"/>
      <c r="BM3" s="3"/>
      <c r="BN3" s="3"/>
      <c r="BO3" s="3"/>
      <c r="BP3" s="6" t="s">
        <v>87</v>
      </c>
      <c r="BQ3" s="3"/>
      <c r="BR3" s="3"/>
      <c r="BS3" s="3"/>
      <c r="BT3" s="3"/>
    </row>
    <row r="4" spans="1:72" x14ac:dyDescent="0.25">
      <c r="G4" s="3"/>
      <c r="H4" s="3"/>
      <c r="I4" s="3"/>
      <c r="K4" s="3"/>
      <c r="L4" s="3"/>
      <c r="M4" s="3"/>
      <c r="N4" s="3"/>
      <c r="P4" s="3"/>
      <c r="Q4" s="3"/>
      <c r="R4" s="3"/>
      <c r="T4" s="3"/>
      <c r="U4" s="3"/>
      <c r="V4" s="3"/>
      <c r="W4" s="3"/>
      <c r="X4" s="3"/>
      <c r="Y4" s="3"/>
      <c r="Z4" s="3"/>
      <c r="AA4" s="3"/>
      <c r="AC4" s="3"/>
      <c r="AD4" s="3"/>
      <c r="AE4" s="3"/>
      <c r="AF4" s="3"/>
      <c r="AG4" s="3"/>
      <c r="AH4" s="3"/>
      <c r="AI4" s="3"/>
      <c r="AJ4" s="3"/>
      <c r="AL4" s="3"/>
      <c r="AM4" s="3"/>
      <c r="AN4" s="3"/>
      <c r="AO4" s="3"/>
      <c r="AP4" s="3"/>
      <c r="AQ4" s="3"/>
      <c r="AR4" s="3"/>
      <c r="AS4" s="3"/>
      <c r="AU4" s="3"/>
      <c r="AV4" s="3"/>
      <c r="AW4" s="3"/>
      <c r="AX4" s="3"/>
      <c r="AY4" s="3"/>
      <c r="AZ4" s="3"/>
      <c r="BA4" s="3"/>
      <c r="BB4" s="3"/>
      <c r="BD4" s="3"/>
      <c r="BE4" s="3"/>
      <c r="BF4" s="3"/>
      <c r="BG4" s="3"/>
      <c r="BH4" s="3"/>
      <c r="BI4" s="3"/>
      <c r="BJ4" s="3"/>
      <c r="BK4" s="3"/>
      <c r="BM4" s="3"/>
      <c r="BN4" s="3"/>
      <c r="BO4" s="3"/>
      <c r="BP4" s="3"/>
      <c r="BQ4" s="3"/>
      <c r="BR4" s="3"/>
      <c r="BS4" s="3"/>
      <c r="BT4" s="3"/>
    </row>
    <row r="5" spans="1:72" ht="15" customHeight="1" x14ac:dyDescent="0.25">
      <c r="B5" s="24" t="s">
        <v>4</v>
      </c>
      <c r="C5" s="25"/>
      <c r="D5" s="7"/>
      <c r="E5" s="24" t="s">
        <v>47</v>
      </c>
      <c r="F5" s="7"/>
      <c r="G5" s="24" t="s">
        <v>18</v>
      </c>
      <c r="H5" s="25"/>
      <c r="I5" s="25"/>
      <c r="J5" s="7"/>
      <c r="K5" s="26" t="s">
        <v>5</v>
      </c>
      <c r="L5" s="27"/>
      <c r="M5" s="27"/>
      <c r="N5" s="28"/>
      <c r="O5" s="7"/>
      <c r="P5" s="24" t="s">
        <v>6</v>
      </c>
      <c r="Q5" s="25"/>
      <c r="R5" s="25"/>
      <c r="S5" s="7"/>
      <c r="T5" s="24" t="s">
        <v>7</v>
      </c>
      <c r="U5" s="25"/>
      <c r="V5" s="25"/>
      <c r="W5" s="25"/>
      <c r="X5" s="25"/>
      <c r="Y5" s="25"/>
      <c r="Z5" s="25"/>
      <c r="AA5" s="25"/>
      <c r="AB5" s="7"/>
      <c r="AC5" s="24" t="s">
        <v>43</v>
      </c>
      <c r="AD5" s="25"/>
      <c r="AE5" s="25"/>
      <c r="AF5" s="25"/>
      <c r="AG5" s="25"/>
      <c r="AH5" s="25"/>
      <c r="AI5" s="25"/>
      <c r="AJ5" s="25"/>
      <c r="AK5" s="7"/>
      <c r="AL5" s="24" t="s">
        <v>44</v>
      </c>
      <c r="AM5" s="25"/>
      <c r="AN5" s="25"/>
      <c r="AO5" s="25"/>
      <c r="AP5" s="25"/>
      <c r="AQ5" s="25"/>
      <c r="AR5" s="25"/>
      <c r="AS5" s="25"/>
      <c r="AT5" s="7"/>
      <c r="AU5" s="24" t="s">
        <v>45</v>
      </c>
      <c r="AV5" s="25"/>
      <c r="AW5" s="25"/>
      <c r="AX5" s="25"/>
      <c r="AY5" s="25"/>
      <c r="AZ5" s="25"/>
      <c r="BA5" s="25"/>
      <c r="BB5" s="25"/>
      <c r="BC5" s="7"/>
      <c r="BD5" s="24" t="s">
        <v>46</v>
      </c>
      <c r="BE5" s="25"/>
      <c r="BF5" s="25"/>
      <c r="BG5" s="25"/>
      <c r="BH5" s="25"/>
      <c r="BI5" s="25"/>
      <c r="BJ5" s="25"/>
      <c r="BK5" s="25"/>
      <c r="BL5" s="7"/>
      <c r="BM5" s="24" t="s">
        <v>86</v>
      </c>
      <c r="BN5" s="25"/>
      <c r="BO5" s="25"/>
      <c r="BP5" s="25"/>
      <c r="BQ5" s="25"/>
      <c r="BR5" s="25"/>
      <c r="BS5" s="25"/>
      <c r="BT5" s="25"/>
    </row>
    <row r="6" spans="1:72" x14ac:dyDescent="0.25">
      <c r="B6" s="25"/>
      <c r="C6" s="25"/>
      <c r="D6" s="8"/>
      <c r="E6" s="25"/>
      <c r="F6" s="8"/>
      <c r="G6" s="25"/>
      <c r="H6" s="25"/>
      <c r="I6" s="25"/>
      <c r="J6" s="8"/>
      <c r="K6" s="29"/>
      <c r="L6" s="30"/>
      <c r="M6" s="30"/>
      <c r="N6" s="31"/>
      <c r="O6" s="8"/>
      <c r="P6" s="25"/>
      <c r="Q6" s="25"/>
      <c r="R6" s="25"/>
      <c r="S6" s="8"/>
      <c r="T6" s="25"/>
      <c r="U6" s="25"/>
      <c r="V6" s="25"/>
      <c r="W6" s="25"/>
      <c r="X6" s="25"/>
      <c r="Y6" s="25"/>
      <c r="Z6" s="25"/>
      <c r="AA6" s="25"/>
      <c r="AB6" s="8"/>
      <c r="AC6" s="25"/>
      <c r="AD6" s="25"/>
      <c r="AE6" s="25"/>
      <c r="AF6" s="25"/>
      <c r="AG6" s="25"/>
      <c r="AH6" s="25"/>
      <c r="AI6" s="25"/>
      <c r="AJ6" s="25"/>
      <c r="AK6" s="8"/>
      <c r="AL6" s="25"/>
      <c r="AM6" s="25"/>
      <c r="AN6" s="25"/>
      <c r="AO6" s="25"/>
      <c r="AP6" s="25"/>
      <c r="AQ6" s="25"/>
      <c r="AR6" s="25"/>
      <c r="AS6" s="25"/>
      <c r="AT6" s="8"/>
      <c r="AU6" s="25"/>
      <c r="AV6" s="25"/>
      <c r="AW6" s="25"/>
      <c r="AX6" s="25"/>
      <c r="AY6" s="25"/>
      <c r="AZ6" s="25"/>
      <c r="BA6" s="25"/>
      <c r="BB6" s="25"/>
      <c r="BC6" s="8"/>
      <c r="BD6" s="25"/>
      <c r="BE6" s="25"/>
      <c r="BF6" s="25"/>
      <c r="BG6" s="25"/>
      <c r="BH6" s="25"/>
      <c r="BI6" s="25"/>
      <c r="BJ6" s="25"/>
      <c r="BK6" s="25"/>
      <c r="BL6" s="8"/>
      <c r="BM6" s="25"/>
      <c r="BN6" s="25"/>
      <c r="BO6" s="25"/>
      <c r="BP6" s="25"/>
      <c r="BQ6" s="25"/>
      <c r="BR6" s="25"/>
      <c r="BS6" s="25"/>
      <c r="BT6" s="25"/>
    </row>
    <row r="7" spans="1:72" ht="25.5" x14ac:dyDescent="0.25">
      <c r="A7" s="18"/>
      <c r="B7" s="13" t="s">
        <v>8</v>
      </c>
      <c r="C7" s="13" t="s">
        <v>9</v>
      </c>
      <c r="D7" s="9"/>
      <c r="E7" s="15" t="s">
        <v>10</v>
      </c>
      <c r="F7" s="9"/>
      <c r="G7" s="13" t="s">
        <v>19</v>
      </c>
      <c r="H7" s="12" t="s">
        <v>14</v>
      </c>
      <c r="I7" s="12" t="s">
        <v>15</v>
      </c>
      <c r="J7" s="9"/>
      <c r="K7" s="12" t="s">
        <v>13</v>
      </c>
      <c r="L7" s="13" t="s">
        <v>16</v>
      </c>
      <c r="M7" s="12" t="s">
        <v>14</v>
      </c>
      <c r="N7" s="12" t="s">
        <v>15</v>
      </c>
      <c r="O7" s="9"/>
      <c r="P7" s="13" t="s">
        <v>16</v>
      </c>
      <c r="Q7" s="12" t="s">
        <v>14</v>
      </c>
      <c r="R7" s="12" t="s">
        <v>15</v>
      </c>
      <c r="S7" s="9"/>
      <c r="T7" s="12" t="s">
        <v>11</v>
      </c>
      <c r="U7" s="12" t="s">
        <v>12</v>
      </c>
      <c r="V7" s="12" t="s">
        <v>13</v>
      </c>
      <c r="W7" s="13" t="s">
        <v>16</v>
      </c>
      <c r="X7" s="12" t="s">
        <v>17</v>
      </c>
      <c r="Y7" s="12" t="s">
        <v>13</v>
      </c>
      <c r="Z7" s="12" t="s">
        <v>14</v>
      </c>
      <c r="AA7" s="12" t="s">
        <v>15</v>
      </c>
      <c r="AB7" s="9"/>
      <c r="AC7" s="12" t="s">
        <v>11</v>
      </c>
      <c r="AD7" s="12" t="s">
        <v>12</v>
      </c>
      <c r="AE7" s="12" t="s">
        <v>13</v>
      </c>
      <c r="AF7" s="13" t="s">
        <v>16</v>
      </c>
      <c r="AG7" s="12" t="s">
        <v>17</v>
      </c>
      <c r="AH7" s="12" t="s">
        <v>13</v>
      </c>
      <c r="AI7" s="12" t="s">
        <v>14</v>
      </c>
      <c r="AJ7" s="12" t="s">
        <v>15</v>
      </c>
      <c r="AK7" s="9"/>
      <c r="AL7" s="12" t="s">
        <v>11</v>
      </c>
      <c r="AM7" s="12" t="s">
        <v>12</v>
      </c>
      <c r="AN7" s="12" t="s">
        <v>13</v>
      </c>
      <c r="AO7" s="13" t="s">
        <v>16</v>
      </c>
      <c r="AP7" s="12" t="s">
        <v>17</v>
      </c>
      <c r="AQ7" s="12" t="s">
        <v>13</v>
      </c>
      <c r="AR7" s="12" t="s">
        <v>14</v>
      </c>
      <c r="AS7" s="12" t="s">
        <v>15</v>
      </c>
      <c r="AT7" s="9"/>
      <c r="AU7" s="12" t="s">
        <v>11</v>
      </c>
      <c r="AV7" s="12" t="s">
        <v>12</v>
      </c>
      <c r="AW7" s="12" t="s">
        <v>13</v>
      </c>
      <c r="AX7" s="13" t="s">
        <v>16</v>
      </c>
      <c r="AY7" s="12" t="s">
        <v>17</v>
      </c>
      <c r="AZ7" s="12" t="s">
        <v>13</v>
      </c>
      <c r="BA7" s="12" t="s">
        <v>14</v>
      </c>
      <c r="BB7" s="12" t="s">
        <v>15</v>
      </c>
      <c r="BC7" s="9"/>
      <c r="BD7" s="12" t="s">
        <v>11</v>
      </c>
      <c r="BE7" s="12" t="s">
        <v>12</v>
      </c>
      <c r="BF7" s="12" t="s">
        <v>13</v>
      </c>
      <c r="BG7" s="13" t="s">
        <v>16</v>
      </c>
      <c r="BH7" s="12" t="s">
        <v>17</v>
      </c>
      <c r="BI7" s="12" t="s">
        <v>13</v>
      </c>
      <c r="BJ7" s="12" t="s">
        <v>14</v>
      </c>
      <c r="BK7" s="12" t="s">
        <v>15</v>
      </c>
      <c r="BL7" s="9"/>
      <c r="BM7" s="12" t="s">
        <v>11</v>
      </c>
      <c r="BN7" s="12" t="s">
        <v>12</v>
      </c>
      <c r="BO7" s="12" t="s">
        <v>13</v>
      </c>
      <c r="BP7" s="13" t="s">
        <v>16</v>
      </c>
      <c r="BQ7" s="12" t="s">
        <v>17</v>
      </c>
      <c r="BR7" s="12" t="s">
        <v>13</v>
      </c>
      <c r="BS7" s="12" t="s">
        <v>14</v>
      </c>
      <c r="BT7" s="12" t="s">
        <v>15</v>
      </c>
    </row>
    <row r="8" spans="1:72" x14ac:dyDescent="0.25">
      <c r="A8" s="18"/>
      <c r="B8" s="7">
        <f>RANK(C8,C$8:C$37,0)</f>
        <v>1</v>
      </c>
      <c r="C8" s="7">
        <f>SUMIF($G$1:$BT$1,1,$G8:$BT8)</f>
        <v>798</v>
      </c>
      <c r="D8" s="10"/>
      <c r="E8" s="16" t="s">
        <v>67</v>
      </c>
      <c r="F8" s="10"/>
      <c r="G8" s="7">
        <v>261</v>
      </c>
      <c r="H8" s="7">
        <f>RANK(G8,G$8:G$37,0)</f>
        <v>1</v>
      </c>
      <c r="I8" s="7">
        <f>VLOOKUP(H8,'Место-баллы'!$A$3:$E$52,2,0)</f>
        <v>100</v>
      </c>
      <c r="J8" s="10"/>
      <c r="K8" s="20" t="s">
        <v>102</v>
      </c>
      <c r="L8" s="7"/>
      <c r="M8" s="7">
        <v>4</v>
      </c>
      <c r="N8" s="7">
        <f>VLOOKUP(M8,'Место-баллы'!$A$3:$E$52,2,0)</f>
        <v>85</v>
      </c>
      <c r="O8" s="10"/>
      <c r="P8" s="7">
        <v>38</v>
      </c>
      <c r="Q8" s="7">
        <f>RANK(P8,P$8:P$37,0)</f>
        <v>4</v>
      </c>
      <c r="R8" s="7">
        <f>VLOOKUP(Q8,'Место-баллы'!$A$3:$E$52,2,0)</f>
        <v>85</v>
      </c>
      <c r="S8" s="10"/>
      <c r="T8" s="7">
        <v>3</v>
      </c>
      <c r="U8" s="7">
        <v>40</v>
      </c>
      <c r="V8" s="17">
        <f>TIME(0,T8,U8)</f>
        <v>2.5462962962962961E-3</v>
      </c>
      <c r="W8" s="7">
        <v>90</v>
      </c>
      <c r="X8" s="7">
        <f>W$2-W8</f>
        <v>0</v>
      </c>
      <c r="Y8" s="17">
        <f>V8+TIME(0,0,X8)</f>
        <v>2.5462962962962961E-3</v>
      </c>
      <c r="Z8" s="7">
        <f>RANK(Y8,Y$8:Y$37,1)</f>
        <v>7</v>
      </c>
      <c r="AA8" s="7">
        <f>VLOOKUP(Z8,'Место-баллы'!$A$3:$E$52,2,0)</f>
        <v>73</v>
      </c>
      <c r="AB8" s="10"/>
      <c r="AC8" s="7">
        <v>3</v>
      </c>
      <c r="AD8" s="7">
        <v>39</v>
      </c>
      <c r="AE8" s="17">
        <f>TIME(0,AC8,AD8)</f>
        <v>2.5347222222222221E-3</v>
      </c>
      <c r="AF8" s="7">
        <v>90</v>
      </c>
      <c r="AG8" s="7">
        <f>AF$2-AF8</f>
        <v>0</v>
      </c>
      <c r="AH8" s="17">
        <f>AE8+TIME(0,0,AG8)</f>
        <v>2.5347222222222221E-3</v>
      </c>
      <c r="AI8" s="7">
        <f>RANK(AH8,AH$8:AH$37,1)</f>
        <v>1</v>
      </c>
      <c r="AJ8" s="7">
        <f>VLOOKUP(AI8,'Место-баллы'!$A$3:$E$52,2,0)</f>
        <v>100</v>
      </c>
      <c r="AK8" s="10"/>
      <c r="AL8" s="7">
        <v>5</v>
      </c>
      <c r="AM8" s="7">
        <v>4</v>
      </c>
      <c r="AN8" s="17">
        <f>TIME(0,AL8,AM8)</f>
        <v>3.5185185185185185E-3</v>
      </c>
      <c r="AO8" s="7">
        <v>260</v>
      </c>
      <c r="AP8" s="7">
        <f>AO$2-AO8</f>
        <v>0</v>
      </c>
      <c r="AQ8" s="17">
        <f>AN8+TIME(0,0,AP8)</f>
        <v>3.5185185185185185E-3</v>
      </c>
      <c r="AR8" s="7">
        <f>RANK(AQ8,AQ$8:AQ$37,1)</f>
        <v>6</v>
      </c>
      <c r="AS8" s="7">
        <f>VLOOKUP(AR8,'Место-баллы'!$A$3:$E$52,2,0)</f>
        <v>75</v>
      </c>
      <c r="AT8" s="10"/>
      <c r="AU8" s="7">
        <v>6</v>
      </c>
      <c r="AV8" s="7">
        <v>16</v>
      </c>
      <c r="AW8" s="17">
        <f>TIME(0,AU8,AV8)</f>
        <v>4.3518518518518515E-3</v>
      </c>
      <c r="AX8" s="7">
        <v>40</v>
      </c>
      <c r="AY8" s="7">
        <f>AX$2-AX8</f>
        <v>0</v>
      </c>
      <c r="AZ8" s="17">
        <f>AW8+TIME(0,0,AY8)</f>
        <v>4.3518518518518515E-3</v>
      </c>
      <c r="BA8" s="7">
        <f>RANK(AZ8,AZ$8:AZ$37,1)</f>
        <v>1</v>
      </c>
      <c r="BB8" s="7">
        <f>VLOOKUP(BA8,'Место-баллы'!$A$3:$E$52,2,0)</f>
        <v>100</v>
      </c>
      <c r="BC8" s="10"/>
      <c r="BD8" s="7">
        <v>2</v>
      </c>
      <c r="BE8" s="7">
        <v>2</v>
      </c>
      <c r="BF8" s="17">
        <f>TIME(0,BD8,BE8)</f>
        <v>1.4120370370370369E-3</v>
      </c>
      <c r="BG8" s="7">
        <v>42</v>
      </c>
      <c r="BH8" s="7">
        <f>BG$2-BG8</f>
        <v>0</v>
      </c>
      <c r="BI8" s="17">
        <f>BF8+TIME(0,0,BH8)</f>
        <v>1.4120370370370369E-3</v>
      </c>
      <c r="BJ8" s="7">
        <f>RANK(BI8,BI$8:BI$37,1)</f>
        <v>1</v>
      </c>
      <c r="BK8" s="7">
        <f>VLOOKUP(BJ8,'Место-баллы'!$A$3:$E$52,2,0)</f>
        <v>100</v>
      </c>
      <c r="BL8" s="10"/>
      <c r="BM8" s="7">
        <v>2</v>
      </c>
      <c r="BN8" s="7">
        <v>21</v>
      </c>
      <c r="BO8" s="17">
        <f>TIME(0,BM8,BN8)</f>
        <v>1.6319444444444445E-3</v>
      </c>
      <c r="BP8" s="7">
        <v>10</v>
      </c>
      <c r="BQ8" s="7">
        <f>BP$2-BP8</f>
        <v>0</v>
      </c>
      <c r="BR8" s="17">
        <f>BO8+TIME(0,0,BQ8)</f>
        <v>1.6319444444444445E-3</v>
      </c>
      <c r="BS8" s="7">
        <f>RANK(BR8,BR$8:BR$37,1)</f>
        <v>5</v>
      </c>
      <c r="BT8" s="7">
        <f>VLOOKUP(BS8,'Место-баллы'!$A$3:$E$52,2,0)</f>
        <v>80</v>
      </c>
    </row>
    <row r="9" spans="1:72" x14ac:dyDescent="0.25">
      <c r="A9" s="18"/>
      <c r="B9" s="7">
        <f>RANK(C9,C$8:C$37,0)</f>
        <v>2</v>
      </c>
      <c r="C9" s="7">
        <f>SUMIF($G$1:$BT$1,1,$G9:$BT9)</f>
        <v>743</v>
      </c>
      <c r="D9" s="10"/>
      <c r="E9" s="16" t="s">
        <v>84</v>
      </c>
      <c r="F9" s="10"/>
      <c r="G9" s="7">
        <v>251</v>
      </c>
      <c r="H9" s="7">
        <f>RANK(G9,G$8:G$37,0)</f>
        <v>3</v>
      </c>
      <c r="I9" s="7">
        <f>VLOOKUP(H9,'Место-баллы'!$A$3:$E$52,2,0)</f>
        <v>90</v>
      </c>
      <c r="J9" s="10"/>
      <c r="K9" s="17" t="s">
        <v>110</v>
      </c>
      <c r="L9" s="7"/>
      <c r="M9" s="7">
        <v>11</v>
      </c>
      <c r="N9" s="7">
        <f>VLOOKUP(M9,'Место-баллы'!$A$3:$E$52,2,0)</f>
        <v>65</v>
      </c>
      <c r="O9" s="10"/>
      <c r="P9" s="7">
        <v>40</v>
      </c>
      <c r="Q9" s="7">
        <f>RANK(P9,P$8:P$37,0)</f>
        <v>3</v>
      </c>
      <c r="R9" s="7">
        <f>VLOOKUP(Q9,'Место-баллы'!$A$3:$E$52,2,0)</f>
        <v>90</v>
      </c>
      <c r="S9" s="10"/>
      <c r="T9" s="7">
        <v>2</v>
      </c>
      <c r="U9" s="7">
        <v>55</v>
      </c>
      <c r="V9" s="17">
        <f>TIME(0,T9,U9)</f>
        <v>2.0254629629629629E-3</v>
      </c>
      <c r="W9" s="7">
        <v>90</v>
      </c>
      <c r="X9" s="7">
        <f>W$2-W9</f>
        <v>0</v>
      </c>
      <c r="Y9" s="17">
        <f>V9+TIME(0,0,X9)</f>
        <v>2.0254629629629629E-3</v>
      </c>
      <c r="Z9" s="7">
        <f>RANK(Y9,Y$8:Y$37,1)</f>
        <v>2</v>
      </c>
      <c r="AA9" s="7">
        <f>VLOOKUP(Z9,'Место-баллы'!$A$3:$E$52,2,0)</f>
        <v>95</v>
      </c>
      <c r="AB9" s="10"/>
      <c r="AC9" s="7">
        <v>4</v>
      </c>
      <c r="AD9" s="7">
        <v>50</v>
      </c>
      <c r="AE9" s="17">
        <f>TIME(0,AC9,AD9)</f>
        <v>3.3564814814814811E-3</v>
      </c>
      <c r="AF9" s="7">
        <v>90</v>
      </c>
      <c r="AG9" s="7">
        <f>AF$2-AF9</f>
        <v>0</v>
      </c>
      <c r="AH9" s="17">
        <f>AE9+TIME(0,0,AG9)</f>
        <v>3.3564814814814811E-3</v>
      </c>
      <c r="AI9" s="7">
        <f>RANK(AH9,AH$8:AH$37,1)</f>
        <v>4</v>
      </c>
      <c r="AJ9" s="7">
        <f>VLOOKUP(AI9,'Место-баллы'!$A$3:$E$52,2,0)</f>
        <v>85</v>
      </c>
      <c r="AK9" s="10"/>
      <c r="AL9" s="7">
        <v>4</v>
      </c>
      <c r="AM9" s="7">
        <v>48</v>
      </c>
      <c r="AN9" s="17">
        <f>TIME(0,AL9,AM9)</f>
        <v>3.3333333333333335E-3</v>
      </c>
      <c r="AO9" s="7">
        <v>260</v>
      </c>
      <c r="AP9" s="7">
        <f>AO$2-AO9</f>
        <v>0</v>
      </c>
      <c r="AQ9" s="17">
        <f>AN9+TIME(0,0,AP9)</f>
        <v>3.3333333333333335E-3</v>
      </c>
      <c r="AR9" s="7">
        <f>RANK(AQ9,AQ$8:AQ$37,1)</f>
        <v>3</v>
      </c>
      <c r="AS9" s="7">
        <f>VLOOKUP(AR9,'Место-баллы'!$A$3:$E$52,2,0)</f>
        <v>90</v>
      </c>
      <c r="AT9" s="10"/>
      <c r="AU9" s="7">
        <v>7</v>
      </c>
      <c r="AV9" s="7">
        <v>28</v>
      </c>
      <c r="AW9" s="17">
        <f>TIME(0,AU9,AV9)</f>
        <v>5.185185185185185E-3</v>
      </c>
      <c r="AX9" s="7">
        <v>40</v>
      </c>
      <c r="AY9" s="7">
        <f>AX$2-AX9</f>
        <v>0</v>
      </c>
      <c r="AZ9" s="17">
        <f>AW9+TIME(0,0,AY9)</f>
        <v>5.185185185185185E-3</v>
      </c>
      <c r="BA9" s="7">
        <f>RANK(AZ9,AZ$8:AZ$37,1)</f>
        <v>5</v>
      </c>
      <c r="BB9" s="7">
        <f>VLOOKUP(BA9,'Место-баллы'!$A$3:$E$52,2,0)</f>
        <v>80</v>
      </c>
      <c r="BC9" s="10"/>
      <c r="BD9" s="7">
        <v>2</v>
      </c>
      <c r="BE9" s="7">
        <v>17</v>
      </c>
      <c r="BF9" s="17">
        <f>TIME(0,BD9,BE9)</f>
        <v>1.5856481481481479E-3</v>
      </c>
      <c r="BG9" s="7">
        <v>42</v>
      </c>
      <c r="BH9" s="7">
        <f>BG$2-BG9</f>
        <v>0</v>
      </c>
      <c r="BI9" s="17">
        <f>BF9+TIME(0,0,BH9)</f>
        <v>1.5856481481481479E-3</v>
      </c>
      <c r="BJ9" s="7">
        <f>RANK(BI9,BI$8:BI$37,1)</f>
        <v>6</v>
      </c>
      <c r="BK9" s="7">
        <f>VLOOKUP(BJ9,'Место-баллы'!$A$3:$E$52,2,0)</f>
        <v>75</v>
      </c>
      <c r="BL9" s="10"/>
      <c r="BM9" s="7">
        <v>2</v>
      </c>
      <c r="BN9" s="7">
        <v>33</v>
      </c>
      <c r="BO9" s="17">
        <f>TIME(0,BM9,BN9)</f>
        <v>1.7708333333333332E-3</v>
      </c>
      <c r="BP9" s="7">
        <v>10</v>
      </c>
      <c r="BQ9" s="7">
        <f>BP$2-BP9</f>
        <v>0</v>
      </c>
      <c r="BR9" s="17">
        <f>BO9+TIME(0,0,BQ9)</f>
        <v>1.7708333333333332E-3</v>
      </c>
      <c r="BS9" s="7">
        <f>RANK(BR9,BR$8:BR$37,1)</f>
        <v>7</v>
      </c>
      <c r="BT9" s="7">
        <f>VLOOKUP(BS9,'Место-баллы'!$A$3:$E$52,2,0)</f>
        <v>73</v>
      </c>
    </row>
    <row r="10" spans="1:72" x14ac:dyDescent="0.25">
      <c r="A10" s="18"/>
      <c r="B10" s="7">
        <f>RANK(C10,C$8:C$37,0)</f>
        <v>3</v>
      </c>
      <c r="C10" s="7">
        <f>SUMIF($G$1:$BT$1,1,$G10:$BT10)</f>
        <v>740</v>
      </c>
      <c r="D10" s="10"/>
      <c r="E10" s="16" t="s">
        <v>65</v>
      </c>
      <c r="F10" s="10"/>
      <c r="G10" s="7">
        <v>242</v>
      </c>
      <c r="H10" s="7">
        <f>RANK(G10,G$8:G$37,0)</f>
        <v>6</v>
      </c>
      <c r="I10" s="7">
        <f>VLOOKUP(H10,'Место-баллы'!$A$3:$E$52,2,0)</f>
        <v>75</v>
      </c>
      <c r="J10" s="10"/>
      <c r="K10" s="20" t="s">
        <v>97</v>
      </c>
      <c r="L10" s="7"/>
      <c r="M10" s="7">
        <v>10</v>
      </c>
      <c r="N10" s="7">
        <f>VLOOKUP(M10,'Место-баллы'!$A$3:$E$52,2,0)</f>
        <v>67</v>
      </c>
      <c r="O10" s="10"/>
      <c r="P10" s="7">
        <v>42</v>
      </c>
      <c r="Q10" s="7">
        <f>RANK(P10,P$8:P$37,0)</f>
        <v>2</v>
      </c>
      <c r="R10" s="7">
        <f>VLOOKUP(Q10,'Место-баллы'!$A$3:$E$52,2,0)</f>
        <v>95</v>
      </c>
      <c r="S10" s="10"/>
      <c r="T10" s="7">
        <v>3</v>
      </c>
      <c r="U10" s="7">
        <v>5</v>
      </c>
      <c r="V10" s="17">
        <f>TIME(0,T10,U10)</f>
        <v>2.1412037037037038E-3</v>
      </c>
      <c r="W10" s="7">
        <v>90</v>
      </c>
      <c r="X10" s="7">
        <f>W$2-W10</f>
        <v>0</v>
      </c>
      <c r="Y10" s="17">
        <f>V10+TIME(0,0,X10)</f>
        <v>2.1412037037037038E-3</v>
      </c>
      <c r="Z10" s="7">
        <f>RANK(Y10,Y$8:Y$37,1)</f>
        <v>4</v>
      </c>
      <c r="AA10" s="7">
        <f>VLOOKUP(Z10,'Место-баллы'!$A$3:$E$52,2,0)</f>
        <v>85</v>
      </c>
      <c r="AB10" s="10"/>
      <c r="AC10" s="7">
        <v>3</v>
      </c>
      <c r="AD10" s="7">
        <v>58</v>
      </c>
      <c r="AE10" s="17">
        <f>TIME(0,AC10,AD10)</f>
        <v>2.7546296296296294E-3</v>
      </c>
      <c r="AF10" s="7">
        <v>90</v>
      </c>
      <c r="AG10" s="7">
        <f>AF$2-AF10</f>
        <v>0</v>
      </c>
      <c r="AH10" s="17">
        <f>AE10+TIME(0,0,AG10)</f>
        <v>2.7546296296296294E-3</v>
      </c>
      <c r="AI10" s="7">
        <f>RANK(AH10,AH$8:AH$37,1)</f>
        <v>2</v>
      </c>
      <c r="AJ10" s="7">
        <f>VLOOKUP(AI10,'Место-баллы'!$A$3:$E$52,2,0)</f>
        <v>95</v>
      </c>
      <c r="AK10" s="10"/>
      <c r="AL10" s="7">
        <v>4</v>
      </c>
      <c r="AM10" s="7">
        <v>52</v>
      </c>
      <c r="AN10" s="17">
        <f>TIME(0,AL10,AM10)</f>
        <v>3.37962962962963E-3</v>
      </c>
      <c r="AO10" s="7">
        <v>260</v>
      </c>
      <c r="AP10" s="7">
        <f>AO$2-AO10</f>
        <v>0</v>
      </c>
      <c r="AQ10" s="17">
        <f>AN10+TIME(0,0,AP10)</f>
        <v>3.37962962962963E-3</v>
      </c>
      <c r="AR10" s="7">
        <f>RANK(AQ10,AQ$8:AQ$37,1)</f>
        <v>4</v>
      </c>
      <c r="AS10" s="7">
        <f>VLOOKUP(AR10,'Место-баллы'!$A$3:$E$52,2,0)</f>
        <v>85</v>
      </c>
      <c r="AT10" s="10"/>
      <c r="AU10" s="7">
        <v>7</v>
      </c>
      <c r="AV10" s="7">
        <v>19</v>
      </c>
      <c r="AW10" s="17">
        <f>TIME(0,AU10,AV10)</f>
        <v>5.0810185185185186E-3</v>
      </c>
      <c r="AX10" s="7">
        <v>40</v>
      </c>
      <c r="AY10" s="7">
        <f>AX$2-AX10</f>
        <v>0</v>
      </c>
      <c r="AZ10" s="17">
        <f>AW10+TIME(0,0,AY10)</f>
        <v>5.0810185185185186E-3</v>
      </c>
      <c r="BA10" s="7">
        <f>RANK(AZ10,AZ$8:AZ$37,1)</f>
        <v>4</v>
      </c>
      <c r="BB10" s="7">
        <f>VLOOKUP(BA10,'Место-баллы'!$A$3:$E$52,2,0)</f>
        <v>85</v>
      </c>
      <c r="BC10" s="10"/>
      <c r="BD10" s="7">
        <v>2</v>
      </c>
      <c r="BE10" s="7">
        <v>22</v>
      </c>
      <c r="BF10" s="17">
        <f>TIME(0,BD10,BE10)</f>
        <v>1.6435185185185183E-3</v>
      </c>
      <c r="BG10" s="7">
        <v>42</v>
      </c>
      <c r="BH10" s="7">
        <f>BG$2-BG10</f>
        <v>0</v>
      </c>
      <c r="BI10" s="17">
        <f>BF10+TIME(0,0,BH10)</f>
        <v>1.6435185185185183E-3</v>
      </c>
      <c r="BJ10" s="7">
        <f>RANK(BI10,BI$8:BI$37,1)</f>
        <v>7</v>
      </c>
      <c r="BK10" s="7">
        <f>VLOOKUP(BJ10,'Место-баллы'!$A$3:$E$52,2,0)</f>
        <v>73</v>
      </c>
      <c r="BL10" s="10"/>
      <c r="BM10" s="7">
        <v>2</v>
      </c>
      <c r="BN10" s="7">
        <v>21</v>
      </c>
      <c r="BO10" s="17">
        <f>TIME(0,BM10,BN10)</f>
        <v>1.6319444444444445E-3</v>
      </c>
      <c r="BP10" s="7">
        <v>10</v>
      </c>
      <c r="BQ10" s="7">
        <f>BP$2-BP10</f>
        <v>0</v>
      </c>
      <c r="BR10" s="17">
        <f>BO10+TIME(0,0,BQ10)</f>
        <v>1.6319444444444445E-3</v>
      </c>
      <c r="BS10" s="7">
        <f>RANK(BR10,BR$8:BR$37,1)</f>
        <v>5</v>
      </c>
      <c r="BT10" s="7">
        <f>VLOOKUP(BS10,'Место-баллы'!$A$3:$E$52,2,0)</f>
        <v>80</v>
      </c>
    </row>
    <row r="11" spans="1:72" x14ac:dyDescent="0.25">
      <c r="A11" s="18"/>
      <c r="B11" s="7">
        <f>RANK(C11,C$8:C$37,0)</f>
        <v>4</v>
      </c>
      <c r="C11" s="7">
        <f>SUMIF($G$1:$BT$1,1,$G11:$BT11)</f>
        <v>728</v>
      </c>
      <c r="D11" s="10"/>
      <c r="E11" s="16" t="s">
        <v>77</v>
      </c>
      <c r="F11" s="10"/>
      <c r="G11" s="7">
        <v>255</v>
      </c>
      <c r="H11" s="7">
        <f>RANK(G11,G$8:G$37,0)</f>
        <v>2</v>
      </c>
      <c r="I11" s="7">
        <f>VLOOKUP(H11,'Место-баллы'!$A$3:$E$52,2,0)</f>
        <v>95</v>
      </c>
      <c r="J11" s="10"/>
      <c r="K11" s="20" t="s">
        <v>104</v>
      </c>
      <c r="L11" s="7"/>
      <c r="M11" s="7">
        <v>5</v>
      </c>
      <c r="N11" s="7">
        <f>VLOOKUP(M11,'Место-баллы'!$A$3:$E$52,2,0)</f>
        <v>80</v>
      </c>
      <c r="O11" s="10"/>
      <c r="P11" s="7">
        <v>28</v>
      </c>
      <c r="Q11" s="7">
        <f>RANK(P11,P$8:P$37,0)</f>
        <v>13</v>
      </c>
      <c r="R11" s="7">
        <f>VLOOKUP(Q11,'Место-баллы'!$A$3:$E$52,2,0)</f>
        <v>61</v>
      </c>
      <c r="S11" s="10"/>
      <c r="T11" s="7">
        <v>2</v>
      </c>
      <c r="U11" s="7">
        <v>37</v>
      </c>
      <c r="V11" s="17">
        <f>TIME(0,T11,U11)</f>
        <v>1.8171296296296297E-3</v>
      </c>
      <c r="W11" s="7">
        <v>90</v>
      </c>
      <c r="X11" s="7">
        <f>W$2-W11</f>
        <v>0</v>
      </c>
      <c r="Y11" s="17">
        <f>V11+TIME(0,0,X11)</f>
        <v>1.8171296296296297E-3</v>
      </c>
      <c r="Z11" s="7">
        <f>RANK(Y11,Y$8:Y$37,1)</f>
        <v>1</v>
      </c>
      <c r="AA11" s="7">
        <f>VLOOKUP(Z11,'Место-баллы'!$A$3:$E$52,2,0)</f>
        <v>100</v>
      </c>
      <c r="AB11" s="10"/>
      <c r="AC11" s="7">
        <v>5</v>
      </c>
      <c r="AD11" s="7">
        <v>54</v>
      </c>
      <c r="AE11" s="17">
        <f>TIME(0,AC11,AD11)</f>
        <v>4.0972222222222226E-3</v>
      </c>
      <c r="AF11" s="7">
        <v>90</v>
      </c>
      <c r="AG11" s="7">
        <f>AF$2-AF11</f>
        <v>0</v>
      </c>
      <c r="AH11" s="17">
        <f>AE11+TIME(0,0,AG11)</f>
        <v>4.0972222222222226E-3</v>
      </c>
      <c r="AI11" s="7">
        <f>RANK(AH11,AH$8:AH$37,1)</f>
        <v>13</v>
      </c>
      <c r="AJ11" s="7">
        <f>VLOOKUP(AI11,'Место-баллы'!$A$3:$E$52,2,0)</f>
        <v>61</v>
      </c>
      <c r="AK11" s="10"/>
      <c r="AL11" s="7">
        <v>5</v>
      </c>
      <c r="AM11" s="7">
        <v>13</v>
      </c>
      <c r="AN11" s="17">
        <f>TIME(0,AL11,AM11)</f>
        <v>3.6226851851851854E-3</v>
      </c>
      <c r="AO11" s="7">
        <v>260</v>
      </c>
      <c r="AP11" s="7">
        <f>AO$2-AO11</f>
        <v>0</v>
      </c>
      <c r="AQ11" s="17">
        <f>AN11+TIME(0,0,AP11)</f>
        <v>3.6226851851851854E-3</v>
      </c>
      <c r="AR11" s="7">
        <f>RANK(AQ11,AQ$8:AQ$37,1)</f>
        <v>7</v>
      </c>
      <c r="AS11" s="7">
        <f>VLOOKUP(AR11,'Место-баллы'!$A$3:$E$52,2,0)</f>
        <v>73</v>
      </c>
      <c r="AT11" s="10"/>
      <c r="AU11" s="7">
        <v>8</v>
      </c>
      <c r="AV11" s="7">
        <v>27</v>
      </c>
      <c r="AW11" s="17">
        <f>TIME(0,AU11,AV11)</f>
        <v>5.8680555555555543E-3</v>
      </c>
      <c r="AX11" s="7">
        <v>40</v>
      </c>
      <c r="AY11" s="7">
        <f>AX$2-AX11</f>
        <v>0</v>
      </c>
      <c r="AZ11" s="17">
        <f>AW11+TIME(0,0,AY11)</f>
        <v>5.8680555555555543E-3</v>
      </c>
      <c r="BA11" s="7">
        <f>RANK(AZ11,AZ$8:AZ$37,1)</f>
        <v>7</v>
      </c>
      <c r="BB11" s="7">
        <f>VLOOKUP(BA11,'Место-баллы'!$A$3:$E$52,2,0)</f>
        <v>73</v>
      </c>
      <c r="BC11" s="10"/>
      <c r="BD11" s="7">
        <v>2</v>
      </c>
      <c r="BE11" s="7">
        <v>3</v>
      </c>
      <c r="BF11" s="17">
        <f>TIME(0,BD11,BE11)</f>
        <v>1.423611111111111E-3</v>
      </c>
      <c r="BG11" s="7">
        <v>42</v>
      </c>
      <c r="BH11" s="7">
        <f>BG$2-BG11</f>
        <v>0</v>
      </c>
      <c r="BI11" s="17">
        <f>BF11+TIME(0,0,BH11)</f>
        <v>1.423611111111111E-3</v>
      </c>
      <c r="BJ11" s="7">
        <f>RANK(BI11,BI$8:BI$37,1)</f>
        <v>2</v>
      </c>
      <c r="BK11" s="7">
        <f>VLOOKUP(BJ11,'Место-баллы'!$A$3:$E$52,2,0)</f>
        <v>95</v>
      </c>
      <c r="BL11" s="10"/>
      <c r="BM11" s="7">
        <v>2</v>
      </c>
      <c r="BN11" s="7">
        <v>3</v>
      </c>
      <c r="BO11" s="17">
        <f>TIME(0,BM11,BN11)</f>
        <v>1.423611111111111E-3</v>
      </c>
      <c r="BP11" s="7">
        <v>10</v>
      </c>
      <c r="BQ11" s="7">
        <f>BP$2-BP11</f>
        <v>0</v>
      </c>
      <c r="BR11" s="17">
        <f>BO11+TIME(0,0,BQ11)</f>
        <v>1.423611111111111E-3</v>
      </c>
      <c r="BS11" s="7">
        <f>RANK(BR11,BR$8:BR$37,1)</f>
        <v>3</v>
      </c>
      <c r="BT11" s="7">
        <f>VLOOKUP(BS11,'Место-баллы'!$A$3:$E$52,2,0)</f>
        <v>90</v>
      </c>
    </row>
    <row r="12" spans="1:72" x14ac:dyDescent="0.25">
      <c r="A12" s="18"/>
      <c r="B12" s="7">
        <f>RANK(C12,C$8:C$37,0)</f>
        <v>5</v>
      </c>
      <c r="C12" s="7">
        <f>SUMIF($G$1:$BT$1,1,$G12:$BT12)</f>
        <v>726</v>
      </c>
      <c r="D12" s="10"/>
      <c r="E12" s="19" t="s">
        <v>113</v>
      </c>
      <c r="F12" s="10"/>
      <c r="G12" s="7">
        <v>245</v>
      </c>
      <c r="H12" s="7">
        <f>RANK(G12,G$8:G$37,0)</f>
        <v>5</v>
      </c>
      <c r="I12" s="7">
        <f>VLOOKUP(H12,'Место-баллы'!$A$3:$E$52,2,0)</f>
        <v>80</v>
      </c>
      <c r="J12" s="10"/>
      <c r="K12" s="17" t="s">
        <v>92</v>
      </c>
      <c r="L12" s="7"/>
      <c r="M12" s="7">
        <v>8</v>
      </c>
      <c r="N12" s="7">
        <f>VLOOKUP(M12,'Место-баллы'!$A$3:$E$52,2,0)</f>
        <v>71</v>
      </c>
      <c r="O12" s="10"/>
      <c r="P12" s="7">
        <v>30</v>
      </c>
      <c r="Q12" s="7">
        <f>RANK(P12,P$8:P$37,0)</f>
        <v>10</v>
      </c>
      <c r="R12" s="7">
        <f>VLOOKUP(Q12,'Место-баллы'!$A$3:$E$52,2,0)</f>
        <v>67</v>
      </c>
      <c r="S12" s="10"/>
      <c r="T12" s="7">
        <v>3</v>
      </c>
      <c r="U12" s="7">
        <v>25</v>
      </c>
      <c r="V12" s="17">
        <f>TIME(0,T12,U12)</f>
        <v>2.3726851851851851E-3</v>
      </c>
      <c r="W12" s="7">
        <v>90</v>
      </c>
      <c r="X12" s="7">
        <f>W$2-W12</f>
        <v>0</v>
      </c>
      <c r="Y12" s="17">
        <f>V12+TIME(0,0,X12)</f>
        <v>2.3726851851851851E-3</v>
      </c>
      <c r="Z12" s="7">
        <f>RANK(Y12,Y$8:Y$37,1)</f>
        <v>6</v>
      </c>
      <c r="AA12" s="7">
        <f>VLOOKUP(Z12,'Место-баллы'!$A$3:$E$52,2,0)</f>
        <v>75</v>
      </c>
      <c r="AB12" s="10"/>
      <c r="AC12" s="7">
        <v>5</v>
      </c>
      <c r="AD12" s="7">
        <v>53</v>
      </c>
      <c r="AE12" s="17">
        <f>TIME(0,AC12,AD12)</f>
        <v>4.0856481481481481E-3</v>
      </c>
      <c r="AF12" s="7">
        <v>90</v>
      </c>
      <c r="AG12" s="7">
        <f>AF$2-AF12</f>
        <v>0</v>
      </c>
      <c r="AH12" s="17">
        <f>AE12+TIME(0,0,AG12)</f>
        <v>4.0856481481481481E-3</v>
      </c>
      <c r="AI12" s="7">
        <f>RANK(AH12,AH$8:AH$37,1)</f>
        <v>12</v>
      </c>
      <c r="AJ12" s="7">
        <f>VLOOKUP(AI12,'Место-баллы'!$A$3:$E$52,2,0)</f>
        <v>63</v>
      </c>
      <c r="AK12" s="10"/>
      <c r="AL12" s="7">
        <v>4</v>
      </c>
      <c r="AM12" s="7">
        <v>45</v>
      </c>
      <c r="AN12" s="17">
        <f>TIME(0,AL12,AM12)</f>
        <v>3.2986111111111111E-3</v>
      </c>
      <c r="AO12" s="7">
        <v>260</v>
      </c>
      <c r="AP12" s="7">
        <f>AO$2-AO12</f>
        <v>0</v>
      </c>
      <c r="AQ12" s="17">
        <f>AN12+TIME(0,0,AP12)</f>
        <v>3.2986111111111111E-3</v>
      </c>
      <c r="AR12" s="7">
        <f>RANK(AQ12,AQ$8:AQ$37,1)</f>
        <v>2</v>
      </c>
      <c r="AS12" s="7">
        <f>VLOOKUP(AR12,'Место-баллы'!$A$3:$E$52,2,0)</f>
        <v>95</v>
      </c>
      <c r="AT12" s="10"/>
      <c r="AU12" s="7">
        <v>6</v>
      </c>
      <c r="AV12" s="7">
        <v>56</v>
      </c>
      <c r="AW12" s="17">
        <f>TIME(0,AU12,AV12)</f>
        <v>4.8148148148148152E-3</v>
      </c>
      <c r="AX12" s="7">
        <v>40</v>
      </c>
      <c r="AY12" s="7">
        <f>AX$2-AX12</f>
        <v>0</v>
      </c>
      <c r="AZ12" s="17">
        <f>AW12+TIME(0,0,AY12)</f>
        <v>4.8148148148148152E-3</v>
      </c>
      <c r="BA12" s="7">
        <f>RANK(AZ12,AZ$8:AZ$37,1)</f>
        <v>2</v>
      </c>
      <c r="BB12" s="7">
        <f>VLOOKUP(BA12,'Место-баллы'!$A$3:$E$52,2,0)</f>
        <v>95</v>
      </c>
      <c r="BC12" s="10"/>
      <c r="BD12" s="7">
        <v>2</v>
      </c>
      <c r="BE12" s="7">
        <v>9</v>
      </c>
      <c r="BF12" s="17">
        <f>TIME(0,BD12,BE12)</f>
        <v>1.4930555555555556E-3</v>
      </c>
      <c r="BG12" s="7">
        <v>42</v>
      </c>
      <c r="BH12" s="7">
        <f>BG$2-BG12</f>
        <v>0</v>
      </c>
      <c r="BI12" s="17">
        <f>BF12+TIME(0,0,BH12)</f>
        <v>1.4930555555555556E-3</v>
      </c>
      <c r="BJ12" s="7">
        <f>RANK(BI12,BI$8:BI$37,1)</f>
        <v>4</v>
      </c>
      <c r="BK12" s="7">
        <f>VLOOKUP(BJ12,'Место-баллы'!$A$3:$E$52,2,0)</f>
        <v>85</v>
      </c>
      <c r="BL12" s="10"/>
      <c r="BM12" s="7">
        <v>2</v>
      </c>
      <c r="BN12" s="7">
        <v>2</v>
      </c>
      <c r="BO12" s="17">
        <f>TIME(0,BM12,BN12)</f>
        <v>1.4120370370370369E-3</v>
      </c>
      <c r="BP12" s="7">
        <v>10</v>
      </c>
      <c r="BQ12" s="7">
        <f>BP$2-BP12</f>
        <v>0</v>
      </c>
      <c r="BR12" s="17">
        <f>BO12+TIME(0,0,BQ12)</f>
        <v>1.4120370370370369E-3</v>
      </c>
      <c r="BS12" s="7">
        <f>RANK(BR12,BR$8:BR$37,1)</f>
        <v>2</v>
      </c>
      <c r="BT12" s="7">
        <f>VLOOKUP(BS12,'Место-баллы'!$A$3:$E$52,2,0)</f>
        <v>95</v>
      </c>
    </row>
    <row r="13" spans="1:72" x14ac:dyDescent="0.25">
      <c r="A13" s="18"/>
      <c r="B13" s="7">
        <f>RANK(C13,C$8:C$37,0)</f>
        <v>6</v>
      </c>
      <c r="C13" s="7">
        <f>SUMIF($G$1:$BT$1,1,$G13:$BT13)</f>
        <v>709</v>
      </c>
      <c r="D13" s="10"/>
      <c r="E13" s="16" t="s">
        <v>83</v>
      </c>
      <c r="F13" s="10"/>
      <c r="G13" s="7">
        <v>240</v>
      </c>
      <c r="H13" s="7">
        <f>RANK(G13,G$8:G$37,0)</f>
        <v>8</v>
      </c>
      <c r="I13" s="7">
        <f>VLOOKUP(H13,'Место-баллы'!$A$3:$E$52,2,0)</f>
        <v>71</v>
      </c>
      <c r="J13" s="10"/>
      <c r="K13" s="17" t="s">
        <v>111</v>
      </c>
      <c r="L13" s="7"/>
      <c r="M13" s="7">
        <v>17</v>
      </c>
      <c r="N13" s="7">
        <f>VLOOKUP(M13,'Место-баллы'!$A$3:$E$52,2,0)</f>
        <v>53</v>
      </c>
      <c r="O13" s="10"/>
      <c r="P13" s="7">
        <v>32</v>
      </c>
      <c r="Q13" s="7">
        <f>RANK(P13,P$8:P$37,0)</f>
        <v>7</v>
      </c>
      <c r="R13" s="7">
        <f>VLOOKUP(Q13,'Место-баллы'!$A$3:$E$52,2,0)</f>
        <v>73</v>
      </c>
      <c r="S13" s="10"/>
      <c r="T13" s="7">
        <v>3</v>
      </c>
      <c r="U13" s="7">
        <v>24</v>
      </c>
      <c r="V13" s="17">
        <f>TIME(0,T13,U13)</f>
        <v>2.3611111111111111E-3</v>
      </c>
      <c r="W13" s="7">
        <v>90</v>
      </c>
      <c r="X13" s="7">
        <f>W$2-W13</f>
        <v>0</v>
      </c>
      <c r="Y13" s="17">
        <f>V13+TIME(0,0,X13)</f>
        <v>2.3611111111111111E-3</v>
      </c>
      <c r="Z13" s="7">
        <f>RANK(Y13,Y$8:Y$37,1)</f>
        <v>5</v>
      </c>
      <c r="AA13" s="7">
        <f>VLOOKUP(Z13,'Место-баллы'!$A$3:$E$52,2,0)</f>
        <v>80</v>
      </c>
      <c r="AB13" s="10"/>
      <c r="AC13" s="7">
        <v>4</v>
      </c>
      <c r="AD13" s="7">
        <v>29</v>
      </c>
      <c r="AE13" s="17">
        <f>TIME(0,AC13,AD13)</f>
        <v>3.1134259259259257E-3</v>
      </c>
      <c r="AF13" s="7">
        <v>90</v>
      </c>
      <c r="AG13" s="7">
        <f>AF$2-AF13</f>
        <v>0</v>
      </c>
      <c r="AH13" s="17">
        <f>AE13+TIME(0,0,AG13)</f>
        <v>3.1134259259259257E-3</v>
      </c>
      <c r="AI13" s="7">
        <f>RANK(AH13,AH$8:AH$37,1)</f>
        <v>3</v>
      </c>
      <c r="AJ13" s="7">
        <f>VLOOKUP(AI13,'Место-баллы'!$A$3:$E$52,2,0)</f>
        <v>90</v>
      </c>
      <c r="AK13" s="10"/>
      <c r="AL13" s="7">
        <v>4</v>
      </c>
      <c r="AM13" s="7">
        <v>21</v>
      </c>
      <c r="AN13" s="17">
        <f>TIME(0,AL13,AM13)</f>
        <v>3.0208333333333333E-3</v>
      </c>
      <c r="AO13" s="7">
        <v>260</v>
      </c>
      <c r="AP13" s="7">
        <f>AO$2-AO13</f>
        <v>0</v>
      </c>
      <c r="AQ13" s="17">
        <f>AN13+TIME(0,0,AP13)</f>
        <v>3.0208333333333333E-3</v>
      </c>
      <c r="AR13" s="7">
        <f>RANK(AQ13,AQ$8:AQ$37,1)</f>
        <v>1</v>
      </c>
      <c r="AS13" s="7">
        <f>VLOOKUP(AR13,'Место-баллы'!$A$3:$E$52,2,0)</f>
        <v>100</v>
      </c>
      <c r="AT13" s="10"/>
      <c r="AU13" s="7">
        <v>7</v>
      </c>
      <c r="AV13" s="7">
        <v>6</v>
      </c>
      <c r="AW13" s="17">
        <f>TIME(0,AU13,AV13)</f>
        <v>4.9305555555555552E-3</v>
      </c>
      <c r="AX13" s="7">
        <v>40</v>
      </c>
      <c r="AY13" s="7">
        <f>AX$2-AX13</f>
        <v>0</v>
      </c>
      <c r="AZ13" s="17">
        <f>AW13+TIME(0,0,AY13)</f>
        <v>4.9305555555555552E-3</v>
      </c>
      <c r="BA13" s="7">
        <f>RANK(AZ13,AZ$8:AZ$37,1)</f>
        <v>3</v>
      </c>
      <c r="BB13" s="7">
        <f>VLOOKUP(BA13,'Место-баллы'!$A$3:$E$52,2,0)</f>
        <v>90</v>
      </c>
      <c r="BC13" s="10"/>
      <c r="BD13" s="7">
        <v>2</v>
      </c>
      <c r="BE13" s="7">
        <v>55</v>
      </c>
      <c r="BF13" s="17">
        <f>TIME(0,BD13,BE13)</f>
        <v>2.0254629629629629E-3</v>
      </c>
      <c r="BG13" s="7">
        <v>42</v>
      </c>
      <c r="BH13" s="7">
        <f>BG$2-BG13</f>
        <v>0</v>
      </c>
      <c r="BI13" s="17">
        <f>BF13+TIME(0,0,BH13)</f>
        <v>2.0254629629629629E-3</v>
      </c>
      <c r="BJ13" s="7">
        <f>RANK(BI13,BI$8:BI$37,1)</f>
        <v>10</v>
      </c>
      <c r="BK13" s="7">
        <f>VLOOKUP(BJ13,'Место-баллы'!$A$3:$E$52,2,0)</f>
        <v>67</v>
      </c>
      <c r="BL13" s="10"/>
      <c r="BM13" s="7">
        <v>2</v>
      </c>
      <c r="BN13" s="7">
        <v>20</v>
      </c>
      <c r="BO13" s="17">
        <f>TIME(0,BM13,BN13)</f>
        <v>1.6203703703703703E-3</v>
      </c>
      <c r="BP13" s="7">
        <v>10</v>
      </c>
      <c r="BQ13" s="7">
        <f>BP$2-BP13</f>
        <v>0</v>
      </c>
      <c r="BR13" s="17">
        <f>BO13+TIME(0,0,BQ13)</f>
        <v>1.6203703703703703E-3</v>
      </c>
      <c r="BS13" s="7">
        <f>RANK(BR13,BR$8:BR$37,1)</f>
        <v>4</v>
      </c>
      <c r="BT13" s="7">
        <f>VLOOKUP(BS13,'Место-баллы'!$A$3:$E$52,2,0)</f>
        <v>85</v>
      </c>
    </row>
    <row r="14" spans="1:72" x14ac:dyDescent="0.25">
      <c r="A14" s="18"/>
      <c r="B14" s="7">
        <f>RANK(C14,C$8:C$37,0)</f>
        <v>7</v>
      </c>
      <c r="C14" s="7">
        <f>SUMIF($G$1:$BT$1,1,$G14:$BT14)</f>
        <v>661</v>
      </c>
      <c r="D14" s="10"/>
      <c r="E14" s="16" t="s">
        <v>70</v>
      </c>
      <c r="F14" s="10"/>
      <c r="G14" s="7">
        <v>220</v>
      </c>
      <c r="H14" s="7">
        <f>RANK(G14,G$8:G$37,0)</f>
        <v>17</v>
      </c>
      <c r="I14" s="7">
        <f>VLOOKUP(H14,'Место-баллы'!$A$3:$E$52,2,0)</f>
        <v>53</v>
      </c>
      <c r="J14" s="10"/>
      <c r="K14" s="20" t="s">
        <v>100</v>
      </c>
      <c r="L14" s="7"/>
      <c r="M14" s="7">
        <v>3</v>
      </c>
      <c r="N14" s="7">
        <f>VLOOKUP(M14,'Место-баллы'!$A$3:$E$52,2,0)</f>
        <v>90</v>
      </c>
      <c r="O14" s="10"/>
      <c r="P14" s="7">
        <v>31</v>
      </c>
      <c r="Q14" s="7">
        <f>RANK(P14,P$8:P$37,0)</f>
        <v>8</v>
      </c>
      <c r="R14" s="7">
        <f>VLOOKUP(Q14,'Место-баллы'!$A$3:$E$52,2,0)</f>
        <v>71</v>
      </c>
      <c r="S14" s="10"/>
      <c r="T14" s="7">
        <v>3</v>
      </c>
      <c r="U14" s="7">
        <v>46</v>
      </c>
      <c r="V14" s="17">
        <f>TIME(0,T14,U14)</f>
        <v>2.615740740740741E-3</v>
      </c>
      <c r="W14" s="7">
        <v>90</v>
      </c>
      <c r="X14" s="7">
        <f>W$2-W14</f>
        <v>0</v>
      </c>
      <c r="Y14" s="17">
        <f>V14+TIME(0,0,X14)</f>
        <v>2.615740740740741E-3</v>
      </c>
      <c r="Z14" s="7">
        <f>RANK(Y14,Y$8:Y$37,1)</f>
        <v>10</v>
      </c>
      <c r="AA14" s="7">
        <f>VLOOKUP(Z14,'Место-баллы'!$A$3:$E$52,2,0)</f>
        <v>67</v>
      </c>
      <c r="AB14" s="10"/>
      <c r="AC14" s="7">
        <v>5</v>
      </c>
      <c r="AD14" s="7">
        <v>12</v>
      </c>
      <c r="AE14" s="17">
        <f>TIME(0,AC14,AD14)</f>
        <v>3.6111111111111114E-3</v>
      </c>
      <c r="AF14" s="7">
        <v>90</v>
      </c>
      <c r="AG14" s="7">
        <f>AF$2-AF14</f>
        <v>0</v>
      </c>
      <c r="AH14" s="17">
        <f>AE14+TIME(0,0,AG14)</f>
        <v>3.6111111111111114E-3</v>
      </c>
      <c r="AI14" s="7">
        <f>RANK(AH14,AH$8:AH$37,1)</f>
        <v>5</v>
      </c>
      <c r="AJ14" s="7">
        <f>VLOOKUP(AI14,'Место-баллы'!$A$3:$E$52,2,0)</f>
        <v>80</v>
      </c>
      <c r="AK14" s="10"/>
      <c r="AL14" s="7">
        <v>7</v>
      </c>
      <c r="AM14" s="7">
        <v>17</v>
      </c>
      <c r="AN14" s="17">
        <f>TIME(0,AL14,AM14)</f>
        <v>5.0578703703703706E-3</v>
      </c>
      <c r="AO14" s="7">
        <v>260</v>
      </c>
      <c r="AP14" s="7">
        <f>AO$2-AO14</f>
        <v>0</v>
      </c>
      <c r="AQ14" s="17">
        <f>AN14+TIME(0,0,AP14)</f>
        <v>5.0578703703703706E-3</v>
      </c>
      <c r="AR14" s="7">
        <f>RANK(AQ14,AQ$8:AQ$37,1)</f>
        <v>21</v>
      </c>
      <c r="AS14" s="7">
        <f>VLOOKUP(AR14,'Место-баллы'!$A$3:$E$52,2,0)</f>
        <v>45</v>
      </c>
      <c r="AT14" s="10"/>
      <c r="AU14" s="7">
        <v>7</v>
      </c>
      <c r="AV14" s="7">
        <v>39</v>
      </c>
      <c r="AW14" s="17">
        <f>TIME(0,AU14,AV14)</f>
        <v>5.3125000000000004E-3</v>
      </c>
      <c r="AX14" s="7">
        <v>40</v>
      </c>
      <c r="AY14" s="7">
        <f>AX$2-AX14</f>
        <v>0</v>
      </c>
      <c r="AZ14" s="17">
        <f>AW14+TIME(0,0,AY14)</f>
        <v>5.3125000000000004E-3</v>
      </c>
      <c r="BA14" s="7">
        <f>RANK(AZ14,AZ$8:AZ$37,1)</f>
        <v>6</v>
      </c>
      <c r="BB14" s="7">
        <f>VLOOKUP(BA14,'Место-баллы'!$A$3:$E$52,2,0)</f>
        <v>75</v>
      </c>
      <c r="BC14" s="10"/>
      <c r="BD14" s="7">
        <v>2</v>
      </c>
      <c r="BE14" s="7">
        <v>11</v>
      </c>
      <c r="BF14" s="17">
        <f>TIME(0,BD14,BE14)</f>
        <v>1.5162037037037036E-3</v>
      </c>
      <c r="BG14" s="7">
        <v>42</v>
      </c>
      <c r="BH14" s="7">
        <f>BG$2-BG14</f>
        <v>0</v>
      </c>
      <c r="BI14" s="17">
        <f>BF14+TIME(0,0,BH14)</f>
        <v>1.5162037037037036E-3</v>
      </c>
      <c r="BJ14" s="7">
        <f>RANK(BI14,BI$8:BI$37,1)</f>
        <v>5</v>
      </c>
      <c r="BK14" s="7">
        <f>VLOOKUP(BJ14,'Место-баллы'!$A$3:$E$52,2,0)</f>
        <v>80</v>
      </c>
      <c r="BL14" s="10"/>
      <c r="BM14" s="7">
        <v>1</v>
      </c>
      <c r="BN14" s="7">
        <v>58</v>
      </c>
      <c r="BO14" s="17">
        <f>TIME(0,BM14,BN14)</f>
        <v>1.3657407407407409E-3</v>
      </c>
      <c r="BP14" s="7">
        <v>10</v>
      </c>
      <c r="BQ14" s="7">
        <f>BP$2-BP14</f>
        <v>0</v>
      </c>
      <c r="BR14" s="17">
        <f>BO14+TIME(0,0,BQ14)</f>
        <v>1.3657407407407409E-3</v>
      </c>
      <c r="BS14" s="7">
        <f>RANK(BR14,BR$8:BR$37,1)</f>
        <v>1</v>
      </c>
      <c r="BT14" s="7">
        <f>VLOOKUP(BS14,'Место-баллы'!$A$3:$E$52,2,0)</f>
        <v>100</v>
      </c>
    </row>
    <row r="15" spans="1:72" x14ac:dyDescent="0.25">
      <c r="A15" s="18"/>
      <c r="B15" s="7">
        <f>RANK(C15,C$8:C$37,0)</f>
        <v>8</v>
      </c>
      <c r="C15" s="7">
        <f>SUMIF($G$1:$BT$1,1,$G15:$BT15)</f>
        <v>623</v>
      </c>
      <c r="D15" s="10"/>
      <c r="E15" s="16" t="s">
        <v>73</v>
      </c>
      <c r="F15" s="10"/>
      <c r="G15" s="7">
        <v>246</v>
      </c>
      <c r="H15" s="7">
        <f>RANK(G15,G$8:G$37,0)</f>
        <v>4</v>
      </c>
      <c r="I15" s="7">
        <f>VLOOKUP(H15,'Место-баллы'!$A$3:$E$52,2,0)</f>
        <v>85</v>
      </c>
      <c r="J15" s="10"/>
      <c r="K15" s="20" t="s">
        <v>106</v>
      </c>
      <c r="L15" s="7"/>
      <c r="M15" s="7">
        <v>1</v>
      </c>
      <c r="N15" s="7">
        <f>VLOOKUP(M15,'Место-баллы'!$A$3:$E$52,2,0)</f>
        <v>100</v>
      </c>
      <c r="O15" s="10"/>
      <c r="P15" s="7">
        <v>20</v>
      </c>
      <c r="Q15" s="7">
        <f>RANK(P15,P$8:P$37,0)</f>
        <v>21</v>
      </c>
      <c r="R15" s="7">
        <f>VLOOKUP(Q15,'Место-баллы'!$A$3:$E$52,2,0)</f>
        <v>45</v>
      </c>
      <c r="S15" s="10"/>
      <c r="T15" s="7">
        <v>6</v>
      </c>
      <c r="U15" s="7">
        <v>5</v>
      </c>
      <c r="V15" s="17">
        <f>TIME(0,T15,U15)</f>
        <v>4.2245370370370371E-3</v>
      </c>
      <c r="W15" s="7">
        <v>73</v>
      </c>
      <c r="X15" s="7">
        <f>W$2-W15</f>
        <v>17</v>
      </c>
      <c r="Y15" s="17">
        <f>V15+TIME(0,0,X15)</f>
        <v>4.4212962962962964E-3</v>
      </c>
      <c r="Z15" s="7">
        <f>RANK(Y15,Y$8:Y$37,1)</f>
        <v>23</v>
      </c>
      <c r="AA15" s="7">
        <f>VLOOKUP(Z15,'Место-баллы'!$A$3:$E$52,2,0)</f>
        <v>41</v>
      </c>
      <c r="AB15" s="10"/>
      <c r="AC15" s="7">
        <v>5</v>
      </c>
      <c r="AD15" s="7">
        <v>48</v>
      </c>
      <c r="AE15" s="17">
        <f>TIME(0,AC15,AD15)</f>
        <v>4.0277777777777777E-3</v>
      </c>
      <c r="AF15" s="7">
        <v>90</v>
      </c>
      <c r="AG15" s="7">
        <f>AF$2-AF15</f>
        <v>0</v>
      </c>
      <c r="AH15" s="17">
        <f>AE15+TIME(0,0,AG15)</f>
        <v>4.0277777777777777E-3</v>
      </c>
      <c r="AI15" s="7">
        <f>RANK(AH15,AH$8:AH$37,1)</f>
        <v>11</v>
      </c>
      <c r="AJ15" s="7">
        <f>VLOOKUP(AI15,'Место-баллы'!$A$3:$E$52,2,0)</f>
        <v>65</v>
      </c>
      <c r="AK15" s="10"/>
      <c r="AL15" s="7">
        <v>6</v>
      </c>
      <c r="AM15" s="7">
        <v>23</v>
      </c>
      <c r="AN15" s="17">
        <f>TIME(0,AL15,AM15)</f>
        <v>4.4328703703703709E-3</v>
      </c>
      <c r="AO15" s="7">
        <v>260</v>
      </c>
      <c r="AP15" s="7">
        <f>AO$2-AO15</f>
        <v>0</v>
      </c>
      <c r="AQ15" s="17">
        <f>AN15+TIME(0,0,AP15)</f>
        <v>4.4328703703703709E-3</v>
      </c>
      <c r="AR15" s="7">
        <f>RANK(AQ15,AQ$8:AQ$37,1)</f>
        <v>16</v>
      </c>
      <c r="AS15" s="7">
        <f>VLOOKUP(AR15,'Место-баллы'!$A$3:$E$52,2,0)</f>
        <v>55</v>
      </c>
      <c r="AT15" s="10"/>
      <c r="AU15" s="7">
        <v>9</v>
      </c>
      <c r="AV15" s="7">
        <v>5</v>
      </c>
      <c r="AW15" s="17">
        <f>TIME(0,AU15,AV15)</f>
        <v>6.3078703703703708E-3</v>
      </c>
      <c r="AX15" s="7">
        <v>38</v>
      </c>
      <c r="AY15" s="7">
        <f>AX$2-AX15</f>
        <v>2</v>
      </c>
      <c r="AZ15" s="17">
        <f>AW15+TIME(0,0,AY15)</f>
        <v>6.3310185185185188E-3</v>
      </c>
      <c r="BA15" s="7">
        <f>RANK(AZ15,AZ$8:AZ$37,1)</f>
        <v>8</v>
      </c>
      <c r="BB15" s="7">
        <f>VLOOKUP(BA15,'Место-баллы'!$A$3:$E$52,2,0)</f>
        <v>71</v>
      </c>
      <c r="BC15" s="10"/>
      <c r="BD15" s="7">
        <v>2</v>
      </c>
      <c r="BE15" s="7">
        <v>4</v>
      </c>
      <c r="BF15" s="17">
        <f>TIME(0,BD15,BE15)</f>
        <v>1.4351851851851854E-3</v>
      </c>
      <c r="BG15" s="7">
        <v>42</v>
      </c>
      <c r="BH15" s="7">
        <f>BG$2-BG15</f>
        <v>0</v>
      </c>
      <c r="BI15" s="17">
        <f>BF15+TIME(0,0,BH15)</f>
        <v>1.4351851851851854E-3</v>
      </c>
      <c r="BJ15" s="7">
        <f>RANK(BI15,BI$8:BI$37,1)</f>
        <v>3</v>
      </c>
      <c r="BK15" s="7">
        <f>VLOOKUP(BJ15,'Место-баллы'!$A$3:$E$52,2,0)</f>
        <v>90</v>
      </c>
      <c r="BL15" s="10"/>
      <c r="BM15" s="7">
        <v>2</v>
      </c>
      <c r="BN15" s="7">
        <v>39</v>
      </c>
      <c r="BO15" s="17">
        <f>TIME(0,BM15,BN15)</f>
        <v>1.8402777777777777E-3</v>
      </c>
      <c r="BP15" s="7">
        <v>10</v>
      </c>
      <c r="BQ15" s="7">
        <f>BP$2-BP15</f>
        <v>0</v>
      </c>
      <c r="BR15" s="17">
        <f>BO15+TIME(0,0,BQ15)</f>
        <v>1.8402777777777777E-3</v>
      </c>
      <c r="BS15" s="7">
        <f>RANK(BR15,BR$8:BR$37,1)</f>
        <v>8</v>
      </c>
      <c r="BT15" s="7">
        <f>VLOOKUP(BS15,'Место-баллы'!$A$3:$E$52,2,0)</f>
        <v>71</v>
      </c>
    </row>
    <row r="16" spans="1:72" x14ac:dyDescent="0.25">
      <c r="A16" s="18"/>
      <c r="B16" s="7">
        <f>RANK(C16,C$8:C$37,0)</f>
        <v>9</v>
      </c>
      <c r="C16" s="7">
        <f>SUMIF($G$1:$BT$1,1,$G16:$BT16)</f>
        <v>516</v>
      </c>
      <c r="D16" s="10"/>
      <c r="E16" s="16" t="s">
        <v>63</v>
      </c>
      <c r="F16" s="10"/>
      <c r="G16" s="7">
        <v>212</v>
      </c>
      <c r="H16" s="7">
        <f>RANK(G16,G$8:G$37,0)</f>
        <v>20</v>
      </c>
      <c r="I16" s="7">
        <f>VLOOKUP(H16,'Место-баллы'!$A$3:$E$52,2,0)</f>
        <v>47</v>
      </c>
      <c r="J16" s="10"/>
      <c r="K16" s="20" t="s">
        <v>93</v>
      </c>
      <c r="L16" s="7"/>
      <c r="M16" s="7">
        <v>2</v>
      </c>
      <c r="N16" s="7">
        <f>VLOOKUP(M16,'Место-баллы'!$A$3:$E$52,2,0)</f>
        <v>95</v>
      </c>
      <c r="O16" s="10"/>
      <c r="P16" s="7">
        <v>28</v>
      </c>
      <c r="Q16" s="7">
        <f>RANK(P16,P$8:P$37,0)</f>
        <v>13</v>
      </c>
      <c r="R16" s="7">
        <f>VLOOKUP(Q16,'Место-баллы'!$A$3:$E$52,2,0)</f>
        <v>61</v>
      </c>
      <c r="S16" s="10"/>
      <c r="T16" s="7">
        <v>5</v>
      </c>
      <c r="U16" s="7">
        <v>7</v>
      </c>
      <c r="V16" s="17">
        <f>TIME(0,T16,U16)</f>
        <v>3.5532407407407405E-3</v>
      </c>
      <c r="W16" s="7">
        <v>90</v>
      </c>
      <c r="X16" s="7">
        <f>W$2-W16</f>
        <v>0</v>
      </c>
      <c r="Y16" s="17">
        <f>V16+TIME(0,0,X16)</f>
        <v>3.5532407407407405E-3</v>
      </c>
      <c r="Z16" s="7">
        <f>RANK(Y16,Y$8:Y$37,1)</f>
        <v>19</v>
      </c>
      <c r="AA16" s="7">
        <f>VLOOKUP(Z16,'Место-баллы'!$A$3:$E$52,2,0)</f>
        <v>49</v>
      </c>
      <c r="AB16" s="10"/>
      <c r="AC16" s="7">
        <v>5</v>
      </c>
      <c r="AD16" s="7">
        <v>46</v>
      </c>
      <c r="AE16" s="17">
        <f>TIME(0,AC16,AD16)</f>
        <v>4.0046296296296297E-3</v>
      </c>
      <c r="AF16" s="7">
        <v>90</v>
      </c>
      <c r="AG16" s="7">
        <f>AF$2-AF16</f>
        <v>0</v>
      </c>
      <c r="AH16" s="17">
        <f>AE16+TIME(0,0,AG16)</f>
        <v>4.0046296296296297E-3</v>
      </c>
      <c r="AI16" s="7">
        <f>RANK(AH16,AH$8:AH$37,1)</f>
        <v>9</v>
      </c>
      <c r="AJ16" s="7">
        <f>VLOOKUP(AI16,'Место-баллы'!$A$3:$E$52,2,0)</f>
        <v>69</v>
      </c>
      <c r="AK16" s="10"/>
      <c r="AL16" s="7">
        <v>6</v>
      </c>
      <c r="AM16" s="7">
        <v>9</v>
      </c>
      <c r="AN16" s="17">
        <f>TIME(0,AL16,AM16)</f>
        <v>4.2708333333333339E-3</v>
      </c>
      <c r="AO16" s="7">
        <v>260</v>
      </c>
      <c r="AP16" s="7">
        <f>AO$2-AO16</f>
        <v>0</v>
      </c>
      <c r="AQ16" s="17">
        <f>AN16+TIME(0,0,AP16)</f>
        <v>4.2708333333333339E-3</v>
      </c>
      <c r="AR16" s="7">
        <f>RANK(AQ16,AQ$8:AQ$37,1)</f>
        <v>15</v>
      </c>
      <c r="AS16" s="7">
        <f>VLOOKUP(AR16,'Место-баллы'!$A$3:$E$52,2,0)</f>
        <v>57</v>
      </c>
      <c r="AT16" s="10"/>
      <c r="AU16" s="7">
        <v>9</v>
      </c>
      <c r="AV16" s="7">
        <v>5</v>
      </c>
      <c r="AW16" s="17">
        <f>TIME(0,AU16,AV16)</f>
        <v>6.3078703703703708E-3</v>
      </c>
      <c r="AX16" s="7">
        <v>28</v>
      </c>
      <c r="AY16" s="7">
        <f>AX$2-AX16</f>
        <v>12</v>
      </c>
      <c r="AZ16" s="17">
        <f>AW16+TIME(0,0,AY16)</f>
        <v>6.4467592592592597E-3</v>
      </c>
      <c r="BA16" s="7">
        <f>RANK(AZ16,AZ$8:AZ$37,1)</f>
        <v>10</v>
      </c>
      <c r="BB16" s="7">
        <f>VLOOKUP(BA16,'Место-баллы'!$A$3:$E$52,2,0)</f>
        <v>67</v>
      </c>
      <c r="BC16" s="10"/>
      <c r="BD16" s="7">
        <v>2</v>
      </c>
      <c r="BE16" s="7">
        <v>43</v>
      </c>
      <c r="BF16" s="17">
        <f>TIME(0,BD16,BE16)</f>
        <v>1.8865740740740742E-3</v>
      </c>
      <c r="BG16" s="7">
        <v>42</v>
      </c>
      <c r="BH16" s="7">
        <f>BG$2-BG16</f>
        <v>0</v>
      </c>
      <c r="BI16" s="17">
        <f>BF16+TIME(0,0,BH16)</f>
        <v>1.8865740740740742E-3</v>
      </c>
      <c r="BJ16" s="7">
        <f>RANK(BI16,BI$8:BI$37,1)</f>
        <v>8</v>
      </c>
      <c r="BK16" s="7">
        <f>VLOOKUP(BJ16,'Место-баллы'!$A$3:$E$52,2,0)</f>
        <v>71</v>
      </c>
      <c r="BL16" s="10"/>
      <c r="BM16" s="7"/>
      <c r="BN16" s="7"/>
      <c r="BO16" s="17"/>
      <c r="BP16" s="7"/>
      <c r="BQ16" s="7"/>
      <c r="BR16" s="17"/>
      <c r="BS16" s="7"/>
      <c r="BT16" s="7"/>
    </row>
    <row r="17" spans="1:72" x14ac:dyDescent="0.25">
      <c r="A17" s="18"/>
      <c r="B17" s="7">
        <f>RANK(C17,C$8:C$37,0)</f>
        <v>10</v>
      </c>
      <c r="C17" s="7">
        <f>SUMIF($G$1:$BT$1,1,$G17:$BT17)</f>
        <v>492</v>
      </c>
      <c r="D17" s="10"/>
      <c r="E17" s="16" t="s">
        <v>68</v>
      </c>
      <c r="F17" s="10"/>
      <c r="G17" s="7">
        <v>190</v>
      </c>
      <c r="H17" s="7">
        <f>RANK(G17,G$8:G$37,0)</f>
        <v>28</v>
      </c>
      <c r="I17" s="7">
        <f>VLOOKUP(H17,'Место-баллы'!$A$3:$E$52,2,0)</f>
        <v>31</v>
      </c>
      <c r="J17" s="10"/>
      <c r="K17" s="17"/>
      <c r="L17" s="7">
        <v>4867</v>
      </c>
      <c r="M17" s="7">
        <v>26</v>
      </c>
      <c r="N17" s="7">
        <f>VLOOKUP(M17,'Место-баллы'!$A$3:$E$52,2,0)</f>
        <v>35</v>
      </c>
      <c r="O17" s="10"/>
      <c r="P17" s="7">
        <v>43</v>
      </c>
      <c r="Q17" s="7">
        <f>RANK(P17,P$8:P$37,0)</f>
        <v>1</v>
      </c>
      <c r="R17" s="7">
        <f>VLOOKUP(Q17,'Место-баллы'!$A$3:$E$52,2,0)</f>
        <v>100</v>
      </c>
      <c r="S17" s="10"/>
      <c r="T17" s="7">
        <v>3</v>
      </c>
      <c r="U17" s="7">
        <v>40</v>
      </c>
      <c r="V17" s="17">
        <f>TIME(0,T17,U17)</f>
        <v>2.5462962962962961E-3</v>
      </c>
      <c r="W17" s="7">
        <v>90</v>
      </c>
      <c r="X17" s="7">
        <f>W$2-W17</f>
        <v>0</v>
      </c>
      <c r="Y17" s="17">
        <f>V17+TIME(0,0,X17)</f>
        <v>2.5462962962962961E-3</v>
      </c>
      <c r="Z17" s="7">
        <f>RANK(Y17,Y$8:Y$37,1)</f>
        <v>7</v>
      </c>
      <c r="AA17" s="7">
        <f>VLOOKUP(Z17,'Место-баллы'!$A$3:$E$52,2,0)</f>
        <v>73</v>
      </c>
      <c r="AB17" s="10"/>
      <c r="AC17" s="7">
        <v>6</v>
      </c>
      <c r="AD17" s="7">
        <v>5</v>
      </c>
      <c r="AE17" s="17">
        <f>TIME(0,AC17,AD17)</f>
        <v>4.2245370370370371E-3</v>
      </c>
      <c r="AF17" s="7">
        <v>79</v>
      </c>
      <c r="AG17" s="7">
        <f>AF$2-AF17</f>
        <v>11</v>
      </c>
      <c r="AH17" s="17">
        <f>AE17+TIME(0,0,AG17)</f>
        <v>4.3518518518518515E-3</v>
      </c>
      <c r="AI17" s="7">
        <f>RANK(AH17,AH$8:AH$37,1)</f>
        <v>16</v>
      </c>
      <c r="AJ17" s="7">
        <f>VLOOKUP(AI17,'Место-баллы'!$A$3:$E$52,2,0)</f>
        <v>55</v>
      </c>
      <c r="AK17" s="10"/>
      <c r="AL17" s="7">
        <v>4</v>
      </c>
      <c r="AM17" s="7">
        <v>53</v>
      </c>
      <c r="AN17" s="17">
        <f>TIME(0,AL17,AM17)</f>
        <v>3.3912037037037036E-3</v>
      </c>
      <c r="AO17" s="7">
        <v>260</v>
      </c>
      <c r="AP17" s="7">
        <f>AO$2-AO17</f>
        <v>0</v>
      </c>
      <c r="AQ17" s="17">
        <f>AN17+TIME(0,0,AP17)</f>
        <v>3.3912037037037036E-3</v>
      </c>
      <c r="AR17" s="7">
        <f>RANK(AQ17,AQ$8:AQ$37,1)</f>
        <v>5</v>
      </c>
      <c r="AS17" s="7">
        <f>VLOOKUP(AR17,'Место-баллы'!$A$3:$E$52,2,0)</f>
        <v>80</v>
      </c>
      <c r="AT17" s="10"/>
      <c r="AU17" s="7">
        <v>9</v>
      </c>
      <c r="AV17" s="7">
        <v>5</v>
      </c>
      <c r="AW17" s="17">
        <f>TIME(0,AU17,AV17)</f>
        <v>6.3078703703703708E-3</v>
      </c>
      <c r="AX17" s="7">
        <v>0</v>
      </c>
      <c r="AY17" s="7">
        <f>AX$2-AX17</f>
        <v>40</v>
      </c>
      <c r="AZ17" s="17">
        <f>AW17+TIME(0,0,AY17)</f>
        <v>6.7708333333333336E-3</v>
      </c>
      <c r="BA17" s="7">
        <f>RANK(AZ17,AZ$8:AZ$37,1)</f>
        <v>14</v>
      </c>
      <c r="BB17" s="7">
        <f>VLOOKUP(BA17,'Место-баллы'!$A$3:$E$52,2,0)</f>
        <v>59</v>
      </c>
      <c r="BC17" s="10"/>
      <c r="BD17" s="7">
        <v>3</v>
      </c>
      <c r="BE17" s="7">
        <v>5</v>
      </c>
      <c r="BF17" s="17">
        <f>TIME(0,BD17,BE17)</f>
        <v>2.1412037037037038E-3</v>
      </c>
      <c r="BG17" s="7">
        <v>34</v>
      </c>
      <c r="BH17" s="7">
        <f>BG$2-BG17</f>
        <v>8</v>
      </c>
      <c r="BI17" s="17">
        <f>BF17+TIME(0,0,BH17)</f>
        <v>2.2337962962962962E-3</v>
      </c>
      <c r="BJ17" s="7">
        <f>RANK(BI17,BI$8:BI$37,1)</f>
        <v>14</v>
      </c>
      <c r="BK17" s="7">
        <f>VLOOKUP(BJ17,'Место-баллы'!$A$3:$E$52,2,0)</f>
        <v>59</v>
      </c>
      <c r="BL17" s="10"/>
      <c r="BM17" s="7"/>
      <c r="BN17" s="7"/>
      <c r="BO17" s="17"/>
      <c r="BP17" s="7"/>
      <c r="BQ17" s="7"/>
      <c r="BR17" s="17"/>
      <c r="BS17" s="7"/>
      <c r="BT17" s="7"/>
    </row>
    <row r="18" spans="1:72" x14ac:dyDescent="0.25">
      <c r="A18" s="18"/>
      <c r="B18" s="7">
        <f>RANK(C18,C$8:C$37,0)</f>
        <v>11</v>
      </c>
      <c r="C18" s="7">
        <f>SUMIF($G$1:$BT$1,1,$G18:$BT18)</f>
        <v>483</v>
      </c>
      <c r="D18" s="10"/>
      <c r="E18" s="16" t="s">
        <v>82</v>
      </c>
      <c r="F18" s="10"/>
      <c r="G18" s="7">
        <v>200</v>
      </c>
      <c r="H18" s="7">
        <f>RANK(G18,G$8:G$37,0)</f>
        <v>24</v>
      </c>
      <c r="I18" s="7">
        <f>VLOOKUP(H18,'Место-баллы'!$A$3:$E$52,2,0)</f>
        <v>39</v>
      </c>
      <c r="J18" s="10"/>
      <c r="K18" s="17"/>
      <c r="L18" s="7">
        <v>4800</v>
      </c>
      <c r="M18" s="7">
        <v>27</v>
      </c>
      <c r="N18" s="7">
        <f>VLOOKUP(M18,'Место-баллы'!$A$3:$E$52,2,0)</f>
        <v>33</v>
      </c>
      <c r="O18" s="10"/>
      <c r="P18" s="7">
        <v>35</v>
      </c>
      <c r="Q18" s="7">
        <f>RANK(P18,P$8:P$37,0)</f>
        <v>6</v>
      </c>
      <c r="R18" s="7">
        <f>VLOOKUP(Q18,'Место-баллы'!$A$3:$E$52,2,0)</f>
        <v>75</v>
      </c>
      <c r="S18" s="10"/>
      <c r="T18" s="7">
        <v>3</v>
      </c>
      <c r="U18" s="7">
        <v>3</v>
      </c>
      <c r="V18" s="17">
        <f>TIME(0,T18,U18)</f>
        <v>2.1180555555555553E-3</v>
      </c>
      <c r="W18" s="7">
        <v>90</v>
      </c>
      <c r="X18" s="7">
        <f>W$2-W18</f>
        <v>0</v>
      </c>
      <c r="Y18" s="17">
        <f>V18+TIME(0,0,X18)</f>
        <v>2.1180555555555553E-3</v>
      </c>
      <c r="Z18" s="7">
        <f>RANK(Y18,Y$8:Y$37,1)</f>
        <v>3</v>
      </c>
      <c r="AA18" s="7">
        <f>VLOOKUP(Z18,'Место-баллы'!$A$3:$E$52,2,0)</f>
        <v>90</v>
      </c>
      <c r="AB18" s="10"/>
      <c r="AC18" s="7">
        <v>5</v>
      </c>
      <c r="AD18" s="7">
        <v>26</v>
      </c>
      <c r="AE18" s="17">
        <f>TIME(0,AC18,AD18)</f>
        <v>3.7731481481481483E-3</v>
      </c>
      <c r="AF18" s="7">
        <v>90</v>
      </c>
      <c r="AG18" s="7">
        <f>AF$2-AF18</f>
        <v>0</v>
      </c>
      <c r="AH18" s="17">
        <f>AE18+TIME(0,0,AG18)</f>
        <v>3.7731481481481483E-3</v>
      </c>
      <c r="AI18" s="7">
        <f>RANK(AH18,AH$8:AH$37,1)</f>
        <v>6</v>
      </c>
      <c r="AJ18" s="7">
        <f>VLOOKUP(AI18,'Место-баллы'!$A$3:$E$52,2,0)</f>
        <v>75</v>
      </c>
      <c r="AK18" s="10"/>
      <c r="AL18" s="7">
        <v>8</v>
      </c>
      <c r="AM18" s="7">
        <v>5</v>
      </c>
      <c r="AN18" s="17">
        <f>TIME(0,AL18,AM18)</f>
        <v>5.6134259259259271E-3</v>
      </c>
      <c r="AO18" s="7">
        <v>260</v>
      </c>
      <c r="AP18" s="7">
        <f>AO$2-AO18</f>
        <v>0</v>
      </c>
      <c r="AQ18" s="17">
        <f>AN18+TIME(0,0,AP18)</f>
        <v>5.6134259259259271E-3</v>
      </c>
      <c r="AR18" s="7">
        <f>RANK(AQ18,AQ$8:AQ$37,1)</f>
        <v>24</v>
      </c>
      <c r="AS18" s="7">
        <f>VLOOKUP(AR18,'Место-баллы'!$A$3:$E$52,2,0)</f>
        <v>39</v>
      </c>
      <c r="AT18" s="10"/>
      <c r="AU18" s="7">
        <v>9</v>
      </c>
      <c r="AV18" s="7">
        <v>5</v>
      </c>
      <c r="AW18" s="17">
        <f>TIME(0,AU18,AV18)</f>
        <v>6.3078703703703708E-3</v>
      </c>
      <c r="AX18" s="7">
        <v>28</v>
      </c>
      <c r="AY18" s="7">
        <f>AX$2-AX18</f>
        <v>12</v>
      </c>
      <c r="AZ18" s="17">
        <f>AW18+TIME(0,0,AY18)</f>
        <v>6.4467592592592597E-3</v>
      </c>
      <c r="BA18" s="7">
        <f>RANK(AZ18,AZ$8:AZ$37,1)</f>
        <v>10</v>
      </c>
      <c r="BB18" s="7">
        <f>VLOOKUP(BA18,'Место-баллы'!$A$3:$E$52,2,0)</f>
        <v>67</v>
      </c>
      <c r="BC18" s="10"/>
      <c r="BD18" s="7">
        <v>2</v>
      </c>
      <c r="BE18" s="7">
        <v>57</v>
      </c>
      <c r="BF18" s="17">
        <f>TIME(0,BD18,BE18)</f>
        <v>2.0486111111111113E-3</v>
      </c>
      <c r="BG18" s="7">
        <v>42</v>
      </c>
      <c r="BH18" s="7">
        <f>BG$2-BG18</f>
        <v>0</v>
      </c>
      <c r="BI18" s="17">
        <f>BF18+TIME(0,0,BH18)</f>
        <v>2.0486111111111113E-3</v>
      </c>
      <c r="BJ18" s="7">
        <f>RANK(BI18,BI$8:BI$37,1)</f>
        <v>11</v>
      </c>
      <c r="BK18" s="7">
        <f>VLOOKUP(BJ18,'Место-баллы'!$A$3:$E$52,2,0)</f>
        <v>65</v>
      </c>
      <c r="BL18" s="10"/>
      <c r="BM18" s="7"/>
      <c r="BN18" s="7"/>
      <c r="BO18" s="17"/>
      <c r="BP18" s="7"/>
      <c r="BQ18" s="7"/>
      <c r="BR18" s="17"/>
      <c r="BS18" s="7"/>
      <c r="BT18" s="7"/>
    </row>
    <row r="19" spans="1:72" x14ac:dyDescent="0.25">
      <c r="A19" s="18"/>
      <c r="B19" s="7">
        <f>RANK(C19,C$8:C$37,0)</f>
        <v>12</v>
      </c>
      <c r="C19" s="7">
        <f>SUMIF($G$1:$BT$1,1,$G19:$BT19)</f>
        <v>480</v>
      </c>
      <c r="D19" s="10"/>
      <c r="E19" s="16" t="s">
        <v>71</v>
      </c>
      <c r="F19" s="10"/>
      <c r="G19" s="7">
        <v>240</v>
      </c>
      <c r="H19" s="7">
        <f>RANK(G19,G$8:G$37,0)</f>
        <v>8</v>
      </c>
      <c r="I19" s="7">
        <f>VLOOKUP(H19,'Место-баллы'!$A$3:$E$52,2,0)</f>
        <v>71</v>
      </c>
      <c r="J19" s="10"/>
      <c r="K19" s="20" t="s">
        <v>101</v>
      </c>
      <c r="L19" s="7"/>
      <c r="M19" s="7">
        <v>16</v>
      </c>
      <c r="N19" s="7">
        <f>VLOOKUP(M19,'Место-баллы'!$A$3:$E$52,2,0)</f>
        <v>55</v>
      </c>
      <c r="O19" s="10"/>
      <c r="P19" s="7">
        <v>28</v>
      </c>
      <c r="Q19" s="7">
        <f>RANK(P19,P$8:P$37,0)</f>
        <v>13</v>
      </c>
      <c r="R19" s="7">
        <f>VLOOKUP(Q19,'Место-баллы'!$A$3:$E$52,2,0)</f>
        <v>61</v>
      </c>
      <c r="S19" s="10"/>
      <c r="T19" s="7">
        <v>4</v>
      </c>
      <c r="U19" s="7">
        <v>40</v>
      </c>
      <c r="V19" s="17">
        <f>TIME(0,T19,U19)</f>
        <v>3.2407407407407406E-3</v>
      </c>
      <c r="W19" s="7">
        <v>90</v>
      </c>
      <c r="X19" s="7">
        <f>W$2-W19</f>
        <v>0</v>
      </c>
      <c r="Y19" s="17">
        <f>V19+TIME(0,0,X19)</f>
        <v>3.2407407407407406E-3</v>
      </c>
      <c r="Z19" s="7">
        <f>RANK(Y19,Y$8:Y$37,1)</f>
        <v>16</v>
      </c>
      <c r="AA19" s="7">
        <f>VLOOKUP(Z19,'Место-баллы'!$A$3:$E$52,2,0)</f>
        <v>55</v>
      </c>
      <c r="AB19" s="10"/>
      <c r="AC19" s="7">
        <v>6</v>
      </c>
      <c r="AD19" s="7">
        <v>5</v>
      </c>
      <c r="AE19" s="17">
        <f>TIME(0,AC19,AD19)</f>
        <v>4.2245370370370371E-3</v>
      </c>
      <c r="AF19" s="7">
        <v>66</v>
      </c>
      <c r="AG19" s="7">
        <f>AF$2-AF19</f>
        <v>24</v>
      </c>
      <c r="AH19" s="17">
        <f>AE19+TIME(0,0,AG19)</f>
        <v>4.5023148148148149E-3</v>
      </c>
      <c r="AI19" s="7">
        <f>RANK(AH19,AH$8:AH$37,1)</f>
        <v>19</v>
      </c>
      <c r="AJ19" s="7">
        <f>VLOOKUP(AI19,'Место-баллы'!$A$3:$E$52,2,0)</f>
        <v>49</v>
      </c>
      <c r="AK19" s="10"/>
      <c r="AL19" s="7">
        <v>6</v>
      </c>
      <c r="AM19" s="7">
        <v>0</v>
      </c>
      <c r="AN19" s="17">
        <f>TIME(0,AL19,AM19)</f>
        <v>4.1666666666666666E-3</v>
      </c>
      <c r="AO19" s="7">
        <v>260</v>
      </c>
      <c r="AP19" s="7">
        <f>AO$2-AO19</f>
        <v>0</v>
      </c>
      <c r="AQ19" s="17">
        <f>AN19+TIME(0,0,AP19)</f>
        <v>4.1666666666666666E-3</v>
      </c>
      <c r="AR19" s="7">
        <f>RANK(AQ19,AQ$8:AQ$37,1)</f>
        <v>14</v>
      </c>
      <c r="AS19" s="7">
        <f>VLOOKUP(AR19,'Место-баллы'!$A$3:$E$52,2,0)</f>
        <v>59</v>
      </c>
      <c r="AT19" s="10"/>
      <c r="AU19" s="7">
        <v>9</v>
      </c>
      <c r="AV19" s="7">
        <v>5</v>
      </c>
      <c r="AW19" s="17">
        <f>TIME(0,AU19,AV19)</f>
        <v>6.3078703703703708E-3</v>
      </c>
      <c r="AX19" s="7">
        <v>8</v>
      </c>
      <c r="AY19" s="7">
        <f>AX$2-AX19</f>
        <v>32</v>
      </c>
      <c r="AZ19" s="17">
        <f>AW19+TIME(0,0,AY19)</f>
        <v>6.6782407407407415E-3</v>
      </c>
      <c r="BA19" s="7">
        <f>RANK(AZ19,AZ$8:AZ$37,1)</f>
        <v>13</v>
      </c>
      <c r="BB19" s="7">
        <f>VLOOKUP(BA19,'Место-баллы'!$A$3:$E$52,2,0)</f>
        <v>61</v>
      </c>
      <c r="BC19" s="10"/>
      <c r="BD19" s="7">
        <v>2</v>
      </c>
      <c r="BE19" s="7">
        <v>44</v>
      </c>
      <c r="BF19" s="17">
        <f>TIME(0,BD19,BE19)</f>
        <v>1.8981481481481482E-3</v>
      </c>
      <c r="BG19" s="7">
        <v>42</v>
      </c>
      <c r="BH19" s="7">
        <f>BG$2-BG19</f>
        <v>0</v>
      </c>
      <c r="BI19" s="17">
        <f>BF19+TIME(0,0,BH19)</f>
        <v>1.8981481481481482E-3</v>
      </c>
      <c r="BJ19" s="7">
        <f>RANK(BI19,BI$8:BI$37,1)</f>
        <v>9</v>
      </c>
      <c r="BK19" s="7">
        <f>VLOOKUP(BJ19,'Место-баллы'!$A$3:$E$52,2,0)</f>
        <v>69</v>
      </c>
      <c r="BL19" s="10"/>
      <c r="BM19" s="7"/>
      <c r="BN19" s="7"/>
      <c r="BO19" s="17"/>
      <c r="BP19" s="7"/>
      <c r="BQ19" s="7"/>
      <c r="BR19" s="17"/>
      <c r="BS19" s="7"/>
      <c r="BT19" s="7"/>
    </row>
    <row r="20" spans="1:72" x14ac:dyDescent="0.25">
      <c r="A20" s="18"/>
      <c r="B20" s="7">
        <f>RANK(C20,C$8:C$37,0)</f>
        <v>13</v>
      </c>
      <c r="C20" s="7">
        <f>SUMIF($G$1:$BT$1,1,$G20:$BT20)</f>
        <v>472</v>
      </c>
      <c r="D20" s="10"/>
      <c r="E20" s="16" t="s">
        <v>64</v>
      </c>
      <c r="F20" s="10"/>
      <c r="G20" s="7">
        <v>235</v>
      </c>
      <c r="H20" s="7">
        <f>RANK(G20,G$8:G$37,0)</f>
        <v>12</v>
      </c>
      <c r="I20" s="7">
        <f>VLOOKUP(H20,'Место-баллы'!$A$3:$E$52,2,0)</f>
        <v>63</v>
      </c>
      <c r="J20" s="10"/>
      <c r="K20" s="17"/>
      <c r="L20" s="7">
        <v>4995</v>
      </c>
      <c r="M20" s="7">
        <v>23</v>
      </c>
      <c r="N20" s="7">
        <f>VLOOKUP(M20,'Место-баллы'!$A$3:$E$52,2,0)</f>
        <v>41</v>
      </c>
      <c r="O20" s="10"/>
      <c r="P20" s="7">
        <v>19</v>
      </c>
      <c r="Q20" s="7">
        <f>RANK(P20,P$8:P$37,0)</f>
        <v>23</v>
      </c>
      <c r="R20" s="7">
        <f>VLOOKUP(Q20,'Место-баллы'!$A$3:$E$52,2,0)</f>
        <v>41</v>
      </c>
      <c r="S20" s="10"/>
      <c r="T20" s="7">
        <v>3</v>
      </c>
      <c r="U20" s="7">
        <v>45</v>
      </c>
      <c r="V20" s="17">
        <f>TIME(0,T20,U20)</f>
        <v>2.6041666666666665E-3</v>
      </c>
      <c r="W20" s="7">
        <v>90</v>
      </c>
      <c r="X20" s="7">
        <f>W$2-W20</f>
        <v>0</v>
      </c>
      <c r="Y20" s="17">
        <f>V20+TIME(0,0,X20)</f>
        <v>2.6041666666666665E-3</v>
      </c>
      <c r="Z20" s="7">
        <f>RANK(Y20,Y$8:Y$37,1)</f>
        <v>9</v>
      </c>
      <c r="AA20" s="7">
        <f>VLOOKUP(Z20,'Место-баллы'!$A$3:$E$52,2,0)</f>
        <v>69</v>
      </c>
      <c r="AB20" s="10"/>
      <c r="AC20" s="7">
        <v>5</v>
      </c>
      <c r="AD20" s="7">
        <v>47</v>
      </c>
      <c r="AE20" s="17">
        <f>TIME(0,AC20,AD20)</f>
        <v>4.0162037037037033E-3</v>
      </c>
      <c r="AF20" s="7">
        <v>90</v>
      </c>
      <c r="AG20" s="7">
        <f>AF$2-AF20</f>
        <v>0</v>
      </c>
      <c r="AH20" s="17">
        <f>AE20+TIME(0,0,AG20)</f>
        <v>4.0162037037037033E-3</v>
      </c>
      <c r="AI20" s="7">
        <f>RANK(AH20,AH$8:AH$37,1)</f>
        <v>10</v>
      </c>
      <c r="AJ20" s="7">
        <f>VLOOKUP(AI20,'Место-баллы'!$A$3:$E$52,2,0)</f>
        <v>67</v>
      </c>
      <c r="AK20" s="10"/>
      <c r="AL20" s="7">
        <v>5</v>
      </c>
      <c r="AM20" s="7">
        <v>30</v>
      </c>
      <c r="AN20" s="17">
        <f>TIME(0,AL20,AM20)</f>
        <v>3.8194444444444443E-3</v>
      </c>
      <c r="AO20" s="7">
        <v>260</v>
      </c>
      <c r="AP20" s="7">
        <f>AO$2-AO20</f>
        <v>0</v>
      </c>
      <c r="AQ20" s="17">
        <f>AN20+TIME(0,0,AP20)</f>
        <v>3.8194444444444443E-3</v>
      </c>
      <c r="AR20" s="7">
        <f>RANK(AQ20,AQ$8:AQ$37,1)</f>
        <v>10</v>
      </c>
      <c r="AS20" s="7">
        <f>VLOOKUP(AR20,'Место-баллы'!$A$3:$E$52,2,0)</f>
        <v>67</v>
      </c>
      <c r="AT20" s="10"/>
      <c r="AU20" s="7">
        <v>9</v>
      </c>
      <c r="AV20" s="7">
        <v>5</v>
      </c>
      <c r="AW20" s="17">
        <f>TIME(0,AU20,AV20)</f>
        <v>6.3078703703703708E-3</v>
      </c>
      <c r="AX20" s="7">
        <v>15</v>
      </c>
      <c r="AY20" s="7">
        <f>AX$2-AX20</f>
        <v>25</v>
      </c>
      <c r="AZ20" s="17">
        <f>AW20+TIME(0,0,AY20)</f>
        <v>6.5972222222222231E-3</v>
      </c>
      <c r="BA20" s="7">
        <f>RANK(AZ20,AZ$8:AZ$37,1)</f>
        <v>12</v>
      </c>
      <c r="BB20" s="7">
        <f>VLOOKUP(BA20,'Место-баллы'!$A$3:$E$52,2,0)</f>
        <v>63</v>
      </c>
      <c r="BC20" s="10"/>
      <c r="BD20" s="7">
        <v>3</v>
      </c>
      <c r="BE20" s="7">
        <v>5</v>
      </c>
      <c r="BF20" s="17">
        <f>TIME(0,BD20,BE20)</f>
        <v>2.1412037037037038E-3</v>
      </c>
      <c r="BG20" s="7">
        <v>40</v>
      </c>
      <c r="BH20" s="7">
        <f>BG$2-BG20</f>
        <v>2</v>
      </c>
      <c r="BI20" s="17">
        <f>BF20+TIME(0,0,BH20)</f>
        <v>2.1643518518518518E-3</v>
      </c>
      <c r="BJ20" s="7">
        <f>RANK(BI20,BI$8:BI$37,1)</f>
        <v>13</v>
      </c>
      <c r="BK20" s="7">
        <f>VLOOKUP(BJ20,'Место-баллы'!$A$3:$E$52,2,0)</f>
        <v>61</v>
      </c>
      <c r="BL20" s="10"/>
      <c r="BM20" s="7"/>
      <c r="BN20" s="7"/>
      <c r="BO20" s="17"/>
      <c r="BP20" s="7"/>
      <c r="BQ20" s="7"/>
      <c r="BR20" s="17"/>
      <c r="BS20" s="7"/>
      <c r="BT20" s="7"/>
    </row>
    <row r="21" spans="1:72" x14ac:dyDescent="0.25">
      <c r="A21" s="18"/>
      <c r="B21" s="7">
        <f>RANK(C21,C$8:C$37,0)</f>
        <v>14</v>
      </c>
      <c r="C21" s="7">
        <f>SUMIF($G$1:$BT$1,1,$G21:$BT21)</f>
        <v>470</v>
      </c>
      <c r="D21" s="10"/>
      <c r="E21" s="16" t="s">
        <v>79</v>
      </c>
      <c r="F21" s="10"/>
      <c r="G21" s="7">
        <v>200</v>
      </c>
      <c r="H21" s="7">
        <f>RANK(G21,G$8:G$37,0)</f>
        <v>24</v>
      </c>
      <c r="I21" s="7">
        <f>VLOOKUP(H21,'Место-баллы'!$A$3:$E$52,2,0)</f>
        <v>39</v>
      </c>
      <c r="J21" s="10"/>
      <c r="K21" s="20" t="s">
        <v>108</v>
      </c>
      <c r="L21" s="7"/>
      <c r="M21" s="7">
        <v>20</v>
      </c>
      <c r="N21" s="7">
        <f>VLOOKUP(M21,'Место-баллы'!$A$3:$E$52,2,0)</f>
        <v>47</v>
      </c>
      <c r="O21" s="10"/>
      <c r="P21" s="7">
        <v>23</v>
      </c>
      <c r="Q21" s="7">
        <f>RANK(P21,P$8:P$37,0)</f>
        <v>17</v>
      </c>
      <c r="R21" s="7">
        <f>VLOOKUP(Q21,'Место-баллы'!$A$3:$E$52,2,0)</f>
        <v>53</v>
      </c>
      <c r="S21" s="10"/>
      <c r="T21" s="7">
        <v>3</v>
      </c>
      <c r="U21" s="7">
        <v>49</v>
      </c>
      <c r="V21" s="17">
        <f>TIME(0,T21,U21)</f>
        <v>2.6504629629629625E-3</v>
      </c>
      <c r="W21" s="7">
        <v>90</v>
      </c>
      <c r="X21" s="7">
        <f>W$2-W21</f>
        <v>0</v>
      </c>
      <c r="Y21" s="17">
        <f>V21+TIME(0,0,X21)</f>
        <v>2.6504629629629625E-3</v>
      </c>
      <c r="Z21" s="7">
        <f>RANK(Y21,Y$8:Y$37,1)</f>
        <v>11</v>
      </c>
      <c r="AA21" s="7">
        <f>VLOOKUP(Z21,'Место-баллы'!$A$3:$E$52,2,0)</f>
        <v>65</v>
      </c>
      <c r="AB21" s="10"/>
      <c r="AC21" s="7">
        <v>5</v>
      </c>
      <c r="AD21" s="7">
        <v>38</v>
      </c>
      <c r="AE21" s="17">
        <f>TIME(0,AC21,AD21)</f>
        <v>3.9120370370370368E-3</v>
      </c>
      <c r="AF21" s="7">
        <v>90</v>
      </c>
      <c r="AG21" s="7">
        <f>AF$2-AF21</f>
        <v>0</v>
      </c>
      <c r="AH21" s="17">
        <f>AE21+TIME(0,0,AG21)</f>
        <v>3.9120370370370368E-3</v>
      </c>
      <c r="AI21" s="7">
        <f>RANK(AH21,AH$8:AH$37,1)</f>
        <v>8</v>
      </c>
      <c r="AJ21" s="7">
        <f>VLOOKUP(AI21,'Место-баллы'!$A$3:$E$52,2,0)</f>
        <v>71</v>
      </c>
      <c r="AK21" s="10"/>
      <c r="AL21" s="7">
        <v>5</v>
      </c>
      <c r="AM21" s="7">
        <v>53</v>
      </c>
      <c r="AN21" s="17">
        <f>TIME(0,AL21,AM21)</f>
        <v>4.0856481481481481E-3</v>
      </c>
      <c r="AO21" s="7">
        <v>260</v>
      </c>
      <c r="AP21" s="7">
        <f>AO$2-AO21</f>
        <v>0</v>
      </c>
      <c r="AQ21" s="17">
        <f>AN21+TIME(0,0,AP21)</f>
        <v>4.0856481481481481E-3</v>
      </c>
      <c r="AR21" s="7">
        <f>RANK(AQ21,AQ$8:AQ$37,1)</f>
        <v>12</v>
      </c>
      <c r="AS21" s="7">
        <f>VLOOKUP(AR21,'Место-баллы'!$A$3:$E$52,2,0)</f>
        <v>63</v>
      </c>
      <c r="AT21" s="10"/>
      <c r="AU21" s="7">
        <v>9</v>
      </c>
      <c r="AV21" s="7">
        <v>5</v>
      </c>
      <c r="AW21" s="17">
        <f>TIME(0,AU21,AV21)</f>
        <v>6.3078703703703708E-3</v>
      </c>
      <c r="AX21" s="7">
        <v>34</v>
      </c>
      <c r="AY21" s="7">
        <f>AX$2-AX21</f>
        <v>6</v>
      </c>
      <c r="AZ21" s="17">
        <f>AW21+TIME(0,0,AY21)</f>
        <v>6.3773148148148148E-3</v>
      </c>
      <c r="BA21" s="7">
        <f>RANK(AZ21,AZ$8:AZ$37,1)</f>
        <v>9</v>
      </c>
      <c r="BB21" s="7">
        <f>VLOOKUP(BA21,'Место-баллы'!$A$3:$E$52,2,0)</f>
        <v>69</v>
      </c>
      <c r="BC21" s="10"/>
      <c r="BD21" s="7">
        <v>2</v>
      </c>
      <c r="BE21" s="7">
        <v>58</v>
      </c>
      <c r="BF21" s="17">
        <f>TIME(0,BD21,BE21)</f>
        <v>2.0601851851851853E-3</v>
      </c>
      <c r="BG21" s="7">
        <v>42</v>
      </c>
      <c r="BH21" s="7">
        <f>BG$2-BG21</f>
        <v>0</v>
      </c>
      <c r="BI21" s="17">
        <f>BF21+TIME(0,0,BH21)</f>
        <v>2.0601851851851853E-3</v>
      </c>
      <c r="BJ21" s="7">
        <f>RANK(BI21,BI$8:BI$37,1)</f>
        <v>12</v>
      </c>
      <c r="BK21" s="7">
        <f>VLOOKUP(BJ21,'Место-баллы'!$A$3:$E$52,2,0)</f>
        <v>63</v>
      </c>
      <c r="BL21" s="10"/>
      <c r="BM21" s="7"/>
      <c r="BN21" s="7"/>
      <c r="BO21" s="17"/>
      <c r="BP21" s="7"/>
      <c r="BQ21" s="7"/>
      <c r="BR21" s="17"/>
      <c r="BS21" s="7"/>
      <c r="BT21" s="7"/>
    </row>
    <row r="22" spans="1:72" x14ac:dyDescent="0.25">
      <c r="A22" s="18"/>
      <c r="B22" s="7">
        <f>RANK(C22,C$8:C$37,0)</f>
        <v>15</v>
      </c>
      <c r="C22" s="7">
        <f>SUMIF($G$1:$BT$1,1,$G22:$BT22)</f>
        <v>372</v>
      </c>
      <c r="D22" s="10"/>
      <c r="E22" s="16" t="s">
        <v>72</v>
      </c>
      <c r="F22" s="10"/>
      <c r="G22" s="7">
        <v>230</v>
      </c>
      <c r="H22" s="7">
        <f>RANK(G22,G$8:G$37,0)</f>
        <v>14</v>
      </c>
      <c r="I22" s="7">
        <f>VLOOKUP(H22,'Место-баллы'!$A$3:$E$52,2,0)</f>
        <v>59</v>
      </c>
      <c r="J22" s="10"/>
      <c r="K22" s="20" t="s">
        <v>98</v>
      </c>
      <c r="L22" s="7"/>
      <c r="M22" s="7">
        <v>19</v>
      </c>
      <c r="N22" s="7">
        <f>VLOOKUP(M22,'Место-баллы'!$A$3:$E$52,2,0)</f>
        <v>49</v>
      </c>
      <c r="O22" s="10"/>
      <c r="P22" s="7">
        <v>30</v>
      </c>
      <c r="Q22" s="7">
        <f>RANK(P22,P$8:P$37,0)</f>
        <v>10</v>
      </c>
      <c r="R22" s="7">
        <f>VLOOKUP(Q22,'Место-баллы'!$A$3:$E$52,2,0)</f>
        <v>67</v>
      </c>
      <c r="S22" s="10"/>
      <c r="T22" s="7">
        <v>5</v>
      </c>
      <c r="U22" s="7">
        <v>2</v>
      </c>
      <c r="V22" s="17">
        <f>TIME(0,T22,U22)</f>
        <v>3.4953703703703705E-3</v>
      </c>
      <c r="W22" s="7">
        <v>90</v>
      </c>
      <c r="X22" s="7">
        <f>W$2-W22</f>
        <v>0</v>
      </c>
      <c r="Y22" s="17">
        <f>V22+TIME(0,0,X22)</f>
        <v>3.4953703703703705E-3</v>
      </c>
      <c r="Z22" s="7">
        <f>RANK(Y22,Y$8:Y$37,1)</f>
        <v>17</v>
      </c>
      <c r="AA22" s="7">
        <f>VLOOKUP(Z22,'Место-баллы'!$A$3:$E$52,2,0)</f>
        <v>53</v>
      </c>
      <c r="AB22" s="10"/>
      <c r="AC22" s="7">
        <v>5</v>
      </c>
      <c r="AD22" s="7">
        <v>36</v>
      </c>
      <c r="AE22" s="17">
        <f>TIME(0,AC22,AD22)</f>
        <v>3.8888888888888883E-3</v>
      </c>
      <c r="AF22" s="7">
        <v>90</v>
      </c>
      <c r="AG22" s="7">
        <f>AF$2-AF22</f>
        <v>0</v>
      </c>
      <c r="AH22" s="17">
        <f>AE22+TIME(0,0,AG22)</f>
        <v>3.8888888888888883E-3</v>
      </c>
      <c r="AI22" s="7">
        <f>RANK(AH22,AH$8:AH$37,1)</f>
        <v>7</v>
      </c>
      <c r="AJ22" s="7">
        <f>VLOOKUP(AI22,'Место-баллы'!$A$3:$E$52,2,0)</f>
        <v>73</v>
      </c>
      <c r="AK22" s="10"/>
      <c r="AL22" s="7">
        <v>5</v>
      </c>
      <c r="AM22" s="7">
        <v>17</v>
      </c>
      <c r="AN22" s="17">
        <f>TIME(0,AL22,AM22)</f>
        <v>3.6689814814814814E-3</v>
      </c>
      <c r="AO22" s="7">
        <v>260</v>
      </c>
      <c r="AP22" s="7">
        <f>AO$2-AO22</f>
        <v>0</v>
      </c>
      <c r="AQ22" s="17">
        <f>AN22+TIME(0,0,AP22)</f>
        <v>3.6689814814814814E-3</v>
      </c>
      <c r="AR22" s="7">
        <f>RANK(AQ22,AQ$8:AQ$37,1)</f>
        <v>8</v>
      </c>
      <c r="AS22" s="7">
        <f>VLOOKUP(AR22,'Место-баллы'!$A$3:$E$52,2,0)</f>
        <v>71</v>
      </c>
      <c r="AT22" s="10"/>
      <c r="AU22" s="7"/>
      <c r="AV22" s="7"/>
      <c r="AW22" s="17"/>
      <c r="AX22" s="7"/>
      <c r="AY22" s="7"/>
      <c r="AZ22" s="17"/>
      <c r="BA22" s="7"/>
      <c r="BB22" s="21" t="s">
        <v>116</v>
      </c>
      <c r="BC22" s="10"/>
      <c r="BD22" s="7"/>
      <c r="BE22" s="7"/>
      <c r="BF22" s="17"/>
      <c r="BG22" s="7"/>
      <c r="BH22" s="7"/>
      <c r="BI22" s="17"/>
      <c r="BJ22" s="7"/>
      <c r="BK22" s="21" t="s">
        <v>116</v>
      </c>
      <c r="BL22" s="10"/>
      <c r="BM22" s="7"/>
      <c r="BN22" s="7"/>
      <c r="BO22" s="17"/>
      <c r="BP22" s="7"/>
      <c r="BQ22" s="7"/>
      <c r="BR22" s="17"/>
      <c r="BS22" s="7"/>
      <c r="BT22" s="21" t="s">
        <v>116</v>
      </c>
    </row>
    <row r="23" spans="1:72" x14ac:dyDescent="0.25">
      <c r="A23" s="18"/>
      <c r="B23" s="7">
        <f>RANK(C23,C$8:C$37,0)</f>
        <v>16</v>
      </c>
      <c r="C23" s="7">
        <f>SUMIF($G$1:$BT$1,1,$G23:$BT23)</f>
        <v>336</v>
      </c>
      <c r="D23" s="10"/>
      <c r="E23" s="16" t="s">
        <v>66</v>
      </c>
      <c r="F23" s="10"/>
      <c r="G23" s="7">
        <v>221</v>
      </c>
      <c r="H23" s="7">
        <f>RANK(G23,G$8:G$37,0)</f>
        <v>16</v>
      </c>
      <c r="I23" s="7">
        <f>VLOOKUP(H23,'Место-баллы'!$A$3:$E$52,2,0)</f>
        <v>55</v>
      </c>
      <c r="J23" s="10"/>
      <c r="K23" s="20" t="s">
        <v>103</v>
      </c>
      <c r="L23" s="7"/>
      <c r="M23" s="7">
        <v>7</v>
      </c>
      <c r="N23" s="7">
        <f>VLOOKUP(M23,'Место-баллы'!$A$3:$E$52,2,0)</f>
        <v>73</v>
      </c>
      <c r="O23" s="10"/>
      <c r="P23" s="7">
        <v>14</v>
      </c>
      <c r="Q23" s="7">
        <f>RANK(P23,P$8:P$37,0)</f>
        <v>27</v>
      </c>
      <c r="R23" s="7">
        <f>VLOOKUP(Q23,'Место-баллы'!$A$3:$E$52,2,0)</f>
        <v>33</v>
      </c>
      <c r="S23" s="10"/>
      <c r="T23" s="7">
        <v>4</v>
      </c>
      <c r="U23" s="7">
        <v>9</v>
      </c>
      <c r="V23" s="17">
        <f>TIME(0,T23,U23)</f>
        <v>2.8819444444444444E-3</v>
      </c>
      <c r="W23" s="7">
        <v>90</v>
      </c>
      <c r="X23" s="7">
        <f>W$2-W23</f>
        <v>0</v>
      </c>
      <c r="Y23" s="17">
        <f>V23+TIME(0,0,X23)</f>
        <v>2.8819444444444444E-3</v>
      </c>
      <c r="Z23" s="7">
        <f>RANK(Y23,Y$8:Y$37,1)</f>
        <v>12</v>
      </c>
      <c r="AA23" s="7">
        <f>VLOOKUP(Z23,'Место-баллы'!$A$3:$E$52,2,0)</f>
        <v>63</v>
      </c>
      <c r="AB23" s="10"/>
      <c r="AC23" s="7">
        <v>6</v>
      </c>
      <c r="AD23" s="7">
        <v>5</v>
      </c>
      <c r="AE23" s="17">
        <f>TIME(0,AC23,AD23)</f>
        <v>4.2245370370370371E-3</v>
      </c>
      <c r="AF23" s="7">
        <f>69+13</f>
        <v>82</v>
      </c>
      <c r="AG23" s="7">
        <f>AF$2-AF23</f>
        <v>8</v>
      </c>
      <c r="AH23" s="17">
        <f>AE23+TIME(0,0,AG23)</f>
        <v>4.31712962962963E-3</v>
      </c>
      <c r="AI23" s="7">
        <f>RANK(AH23,AH$8:AH$37,1)</f>
        <v>15</v>
      </c>
      <c r="AJ23" s="7">
        <f>VLOOKUP(AI23,'Место-баллы'!$A$3:$E$52,2,0)</f>
        <v>57</v>
      </c>
      <c r="AK23" s="10"/>
      <c r="AL23" s="7">
        <v>6</v>
      </c>
      <c r="AM23" s="7">
        <v>23</v>
      </c>
      <c r="AN23" s="17">
        <f>TIME(0,AL23,AM23)</f>
        <v>4.4328703703703709E-3</v>
      </c>
      <c r="AO23" s="7">
        <v>260</v>
      </c>
      <c r="AP23" s="7">
        <f>AO$2-AO23</f>
        <v>0</v>
      </c>
      <c r="AQ23" s="17">
        <f>AN23+TIME(0,0,AP23)</f>
        <v>4.4328703703703709E-3</v>
      </c>
      <c r="AR23" s="7">
        <f>RANK(AQ23,AQ$8:AQ$37,1)</f>
        <v>16</v>
      </c>
      <c r="AS23" s="7">
        <f>VLOOKUP(AR23,'Место-баллы'!$A$3:$E$52,2,0)</f>
        <v>55</v>
      </c>
      <c r="AT23" s="10"/>
      <c r="AU23" s="7"/>
      <c r="AV23" s="7"/>
      <c r="AW23" s="17"/>
      <c r="AX23" s="7"/>
      <c r="AY23" s="7"/>
      <c r="AZ23" s="17"/>
      <c r="BA23" s="7"/>
      <c r="BB23" s="7"/>
      <c r="BC23" s="10"/>
      <c r="BD23" s="7"/>
      <c r="BE23" s="7"/>
      <c r="BF23" s="17"/>
      <c r="BG23" s="7"/>
      <c r="BH23" s="7"/>
      <c r="BI23" s="17"/>
      <c r="BJ23" s="7"/>
      <c r="BK23" s="7"/>
      <c r="BL23" s="10"/>
      <c r="BM23" s="7"/>
      <c r="BN23" s="7"/>
      <c r="BO23" s="17"/>
      <c r="BP23" s="7"/>
      <c r="BQ23" s="7"/>
      <c r="BR23" s="17"/>
      <c r="BS23" s="7"/>
      <c r="BT23" s="7"/>
    </row>
    <row r="24" spans="1:72" x14ac:dyDescent="0.25">
      <c r="A24" s="18"/>
      <c r="B24" s="7">
        <f>RANK(C24,C$8:C$37,0)</f>
        <v>17</v>
      </c>
      <c r="C24" s="7">
        <f>SUMIF($G$1:$BT$1,1,$G24:$BT24)</f>
        <v>334</v>
      </c>
      <c r="D24" s="10"/>
      <c r="E24" s="16" t="s">
        <v>23</v>
      </c>
      <c r="F24" s="10"/>
      <c r="G24" s="7">
        <v>232</v>
      </c>
      <c r="H24" s="7">
        <f>RANK(G24,G$8:G$37,0)</f>
        <v>13</v>
      </c>
      <c r="I24" s="7">
        <f>VLOOKUP(H24,'Место-баллы'!$A$3:$E$52,2,0)</f>
        <v>61</v>
      </c>
      <c r="J24" s="10"/>
      <c r="K24" s="20" t="s">
        <v>94</v>
      </c>
      <c r="L24" s="7"/>
      <c r="M24" s="7">
        <v>22</v>
      </c>
      <c r="N24" s="7">
        <f>VLOOKUP(M24,'Место-баллы'!$A$3:$E$52,2,0)</f>
        <v>43</v>
      </c>
      <c r="O24" s="10"/>
      <c r="P24" s="7">
        <v>31</v>
      </c>
      <c r="Q24" s="7">
        <f>RANK(P24,P$8:P$37,0)</f>
        <v>8</v>
      </c>
      <c r="R24" s="7">
        <f>VLOOKUP(Q24,'Место-баллы'!$A$3:$E$52,2,0)</f>
        <v>71</v>
      </c>
      <c r="S24" s="10"/>
      <c r="T24" s="7">
        <v>5</v>
      </c>
      <c r="U24" s="7">
        <v>10</v>
      </c>
      <c r="V24" s="17">
        <f>TIME(0,T24,U24)</f>
        <v>3.5879629629629629E-3</v>
      </c>
      <c r="W24" s="7">
        <v>90</v>
      </c>
      <c r="X24" s="7">
        <f>W$2-W24</f>
        <v>0</v>
      </c>
      <c r="Y24" s="17">
        <f>V24+TIME(0,0,X24)</f>
        <v>3.5879629629629629E-3</v>
      </c>
      <c r="Z24" s="7">
        <f>RANK(Y24,Y$8:Y$37,1)</f>
        <v>20</v>
      </c>
      <c r="AA24" s="7">
        <f>VLOOKUP(Z24,'Место-баллы'!$A$3:$E$52,2,0)</f>
        <v>47</v>
      </c>
      <c r="AB24" s="10"/>
      <c r="AC24" s="7">
        <v>6</v>
      </c>
      <c r="AD24" s="7">
        <v>5</v>
      </c>
      <c r="AE24" s="17">
        <f>TIME(0,AC24,AD24)</f>
        <v>4.2245370370370371E-3</v>
      </c>
      <c r="AF24" s="7">
        <f>48+11</f>
        <v>59</v>
      </c>
      <c r="AG24" s="7">
        <f>AF$2-AF24</f>
        <v>31</v>
      </c>
      <c r="AH24" s="17">
        <f>AE24+TIME(0,0,AG24)</f>
        <v>4.5833333333333334E-3</v>
      </c>
      <c r="AI24" s="7">
        <f>RANK(AH24,AH$8:AH$37,1)</f>
        <v>22</v>
      </c>
      <c r="AJ24" s="7">
        <f>VLOOKUP(AI24,'Место-баллы'!$A$3:$E$52,2,0)</f>
        <v>43</v>
      </c>
      <c r="AK24" s="10"/>
      <c r="AL24" s="7">
        <v>5</v>
      </c>
      <c r="AM24" s="7">
        <v>21</v>
      </c>
      <c r="AN24" s="17">
        <f>TIME(0,AL24,AM24)</f>
        <v>3.7152777777777774E-3</v>
      </c>
      <c r="AO24" s="7">
        <v>260</v>
      </c>
      <c r="AP24" s="7">
        <f>AO$2-AO24</f>
        <v>0</v>
      </c>
      <c r="AQ24" s="17">
        <f>AN24+TIME(0,0,AP24)</f>
        <v>3.7152777777777774E-3</v>
      </c>
      <c r="AR24" s="7">
        <f>RANK(AQ24,AQ$8:AQ$37,1)</f>
        <v>9</v>
      </c>
      <c r="AS24" s="7">
        <f>VLOOKUP(AR24,'Место-баллы'!$A$3:$E$52,2,0)</f>
        <v>69</v>
      </c>
      <c r="AT24" s="10"/>
      <c r="AU24" s="7"/>
      <c r="AV24" s="7"/>
      <c r="AW24" s="17"/>
      <c r="AX24" s="7"/>
      <c r="AY24" s="7"/>
      <c r="AZ24" s="17"/>
      <c r="BA24" s="7"/>
      <c r="BB24" s="7"/>
      <c r="BC24" s="10"/>
      <c r="BD24" s="7"/>
      <c r="BE24" s="7"/>
      <c r="BF24" s="17"/>
      <c r="BG24" s="7"/>
      <c r="BH24" s="7"/>
      <c r="BI24" s="17"/>
      <c r="BJ24" s="7"/>
      <c r="BK24" s="7"/>
      <c r="BL24" s="10"/>
      <c r="BM24" s="7"/>
      <c r="BN24" s="7"/>
      <c r="BO24" s="17"/>
      <c r="BP24" s="7"/>
      <c r="BQ24" s="7"/>
      <c r="BR24" s="17"/>
      <c r="BS24" s="7"/>
      <c r="BT24" s="7"/>
    </row>
    <row r="25" spans="1:72" x14ac:dyDescent="0.25">
      <c r="A25" s="18"/>
      <c r="B25" s="7">
        <v>18</v>
      </c>
      <c r="C25" s="7">
        <f>SUMIF($G$1:$BT$1,1,$G25:$BT25)</f>
        <v>334</v>
      </c>
      <c r="D25" s="10"/>
      <c r="E25" s="16" t="s">
        <v>61</v>
      </c>
      <c r="F25" s="10"/>
      <c r="G25" s="7">
        <v>240</v>
      </c>
      <c r="H25" s="7">
        <f>RANK(G25,G$8:G$37,0)</f>
        <v>8</v>
      </c>
      <c r="I25" s="7">
        <f>VLOOKUP(H25,'Место-баллы'!$A$3:$E$52,2,0)</f>
        <v>71</v>
      </c>
      <c r="J25" s="10"/>
      <c r="K25" s="20" t="s">
        <v>96</v>
      </c>
      <c r="L25" s="7"/>
      <c r="M25" s="7">
        <v>21</v>
      </c>
      <c r="N25" s="7">
        <f>VLOOKUP(M25,'Место-баллы'!$A$3:$E$52,2,0)</f>
        <v>45</v>
      </c>
      <c r="O25" s="10"/>
      <c r="P25" s="7">
        <v>18</v>
      </c>
      <c r="Q25" s="7">
        <f>RANK(P25,P$8:P$37,0)</f>
        <v>24</v>
      </c>
      <c r="R25" s="7">
        <f>VLOOKUP(Q25,'Место-баллы'!$A$3:$E$52,2,0)</f>
        <v>39</v>
      </c>
      <c r="S25" s="10"/>
      <c r="T25" s="7">
        <v>4</v>
      </c>
      <c r="U25" s="7">
        <v>9</v>
      </c>
      <c r="V25" s="17">
        <f>TIME(0,T25,U25)</f>
        <v>2.8819444444444444E-3</v>
      </c>
      <c r="W25" s="7">
        <v>90</v>
      </c>
      <c r="X25" s="7">
        <f>W$2-W25</f>
        <v>0</v>
      </c>
      <c r="Y25" s="17">
        <f>V25+TIME(0,0,X25)</f>
        <v>2.8819444444444444E-3</v>
      </c>
      <c r="Z25" s="7">
        <f>RANK(Y25,Y$8:Y$37,1)</f>
        <v>12</v>
      </c>
      <c r="AA25" s="7">
        <f>VLOOKUP(Z25,'Место-баллы'!$A$3:$E$52,2,0)</f>
        <v>63</v>
      </c>
      <c r="AB25" s="10"/>
      <c r="AC25" s="7">
        <v>6</v>
      </c>
      <c r="AD25" s="7">
        <v>5</v>
      </c>
      <c r="AE25" s="17">
        <f>TIME(0,AC25,AD25)</f>
        <v>4.2245370370370371E-3</v>
      </c>
      <c r="AF25" s="7">
        <f>69+5</f>
        <v>74</v>
      </c>
      <c r="AG25" s="7">
        <f>AF$2-AF25</f>
        <v>16</v>
      </c>
      <c r="AH25" s="17">
        <f>AE25+TIME(0,0,AG25)</f>
        <v>4.409722222222222E-3</v>
      </c>
      <c r="AI25" s="7">
        <f>RANK(AH25,AH$8:AH$37,1)</f>
        <v>18</v>
      </c>
      <c r="AJ25" s="7">
        <f>VLOOKUP(AI25,'Место-баллы'!$A$3:$E$52,2,0)</f>
        <v>51</v>
      </c>
      <c r="AK25" s="10"/>
      <c r="AL25" s="7">
        <v>5</v>
      </c>
      <c r="AM25" s="7">
        <v>42</v>
      </c>
      <c r="AN25" s="17">
        <f>TIME(0,AL25,AM25)</f>
        <v>3.9583333333333337E-3</v>
      </c>
      <c r="AO25" s="7">
        <v>260</v>
      </c>
      <c r="AP25" s="7">
        <f>AO$2-AO25</f>
        <v>0</v>
      </c>
      <c r="AQ25" s="17">
        <f>AN25+TIME(0,0,AP25)</f>
        <v>3.9583333333333337E-3</v>
      </c>
      <c r="AR25" s="7">
        <f>RANK(AQ25,AQ$8:AQ$37,1)</f>
        <v>11</v>
      </c>
      <c r="AS25" s="7">
        <f>VLOOKUP(AR25,'Место-баллы'!$A$3:$E$52,2,0)</f>
        <v>65</v>
      </c>
      <c r="AT25" s="10"/>
      <c r="AU25" s="7"/>
      <c r="AV25" s="7"/>
      <c r="AW25" s="17"/>
      <c r="AX25" s="7"/>
      <c r="AY25" s="7"/>
      <c r="AZ25" s="17"/>
      <c r="BA25" s="7"/>
      <c r="BB25" s="7"/>
      <c r="BC25" s="10"/>
      <c r="BD25" s="7"/>
      <c r="BE25" s="7"/>
      <c r="BF25" s="17"/>
      <c r="BG25" s="7"/>
      <c r="BH25" s="7"/>
      <c r="BI25" s="17"/>
      <c r="BJ25" s="7"/>
      <c r="BK25" s="7"/>
      <c r="BL25" s="10"/>
      <c r="BM25" s="7"/>
      <c r="BN25" s="7"/>
      <c r="BO25" s="17"/>
      <c r="BP25" s="7"/>
      <c r="BQ25" s="7"/>
      <c r="BR25" s="17"/>
      <c r="BS25" s="7"/>
      <c r="BT25" s="7"/>
    </row>
    <row r="26" spans="1:72" x14ac:dyDescent="0.25">
      <c r="A26" s="18"/>
      <c r="B26" s="7">
        <f>RANK(C26,C$8:C$37,0)</f>
        <v>19</v>
      </c>
      <c r="C26" s="7">
        <f>SUMIF($G$1:$BT$1,1,$G26:$BT26)</f>
        <v>331</v>
      </c>
      <c r="D26" s="10"/>
      <c r="E26" s="16" t="s">
        <v>74</v>
      </c>
      <c r="F26" s="10"/>
      <c r="G26" s="7">
        <v>225</v>
      </c>
      <c r="H26" s="7">
        <f>RANK(G26,G$8:G$37,0)</f>
        <v>15</v>
      </c>
      <c r="I26" s="7">
        <f>VLOOKUP(H26,'Место-баллы'!$A$3:$E$52,2,0)</f>
        <v>57</v>
      </c>
      <c r="J26" s="10"/>
      <c r="K26" s="20" t="s">
        <v>105</v>
      </c>
      <c r="L26" s="7"/>
      <c r="M26" s="7">
        <v>18</v>
      </c>
      <c r="N26" s="7">
        <f>VLOOKUP(M26,'Место-баллы'!$A$3:$E$52,2,0)</f>
        <v>51</v>
      </c>
      <c r="O26" s="10"/>
      <c r="P26" s="7">
        <v>37</v>
      </c>
      <c r="Q26" s="7">
        <f>RANK(P26,P$8:P$37,0)</f>
        <v>5</v>
      </c>
      <c r="R26" s="7">
        <f>VLOOKUP(Q26,'Место-баллы'!$A$3:$E$52,2,0)</f>
        <v>80</v>
      </c>
      <c r="S26" s="10"/>
      <c r="T26" s="7">
        <v>5</v>
      </c>
      <c r="U26" s="7">
        <v>10</v>
      </c>
      <c r="V26" s="17">
        <f>TIME(0,T26,U26)</f>
        <v>3.5879629629629629E-3</v>
      </c>
      <c r="W26" s="7">
        <v>90</v>
      </c>
      <c r="X26" s="7">
        <f>W$2-W26</f>
        <v>0</v>
      </c>
      <c r="Y26" s="17">
        <f>V26+TIME(0,0,X26)</f>
        <v>3.5879629629629629E-3</v>
      </c>
      <c r="Z26" s="7">
        <f>RANK(Y26,Y$8:Y$37,1)</f>
        <v>20</v>
      </c>
      <c r="AA26" s="7">
        <f>VLOOKUP(Z26,'Место-баллы'!$A$3:$E$52,2,0)</f>
        <v>47</v>
      </c>
      <c r="AB26" s="10"/>
      <c r="AC26" s="7">
        <v>6</v>
      </c>
      <c r="AD26" s="7">
        <v>5</v>
      </c>
      <c r="AE26" s="17">
        <f>TIME(0,AC26,AD26)</f>
        <v>4.2245370370370371E-3</v>
      </c>
      <c r="AF26" s="7">
        <f>48+17</f>
        <v>65</v>
      </c>
      <c r="AG26" s="7">
        <f>AF$2-AF26</f>
        <v>25</v>
      </c>
      <c r="AH26" s="17">
        <f>AE26+TIME(0,0,AG26)</f>
        <v>4.5138888888888893E-3</v>
      </c>
      <c r="AI26" s="7">
        <f>RANK(AH26,AH$8:AH$37,1)</f>
        <v>20</v>
      </c>
      <c r="AJ26" s="7">
        <f>VLOOKUP(AI26,'Место-баллы'!$A$3:$E$52,2,0)</f>
        <v>47</v>
      </c>
      <c r="AK26" s="10"/>
      <c r="AL26" s="7">
        <v>6</v>
      </c>
      <c r="AM26" s="7">
        <v>49</v>
      </c>
      <c r="AN26" s="17">
        <f>TIME(0,AL26,AM26)</f>
        <v>4.7337962962962958E-3</v>
      </c>
      <c r="AO26" s="7">
        <v>260</v>
      </c>
      <c r="AP26" s="7">
        <f>AO$2-AO26</f>
        <v>0</v>
      </c>
      <c r="AQ26" s="17">
        <f>AN26+TIME(0,0,AP26)</f>
        <v>4.7337962962962958E-3</v>
      </c>
      <c r="AR26" s="7">
        <f>RANK(AQ26,AQ$8:AQ$37,1)</f>
        <v>19</v>
      </c>
      <c r="AS26" s="7">
        <f>VLOOKUP(AR26,'Место-баллы'!$A$3:$E$52,2,0)</f>
        <v>49</v>
      </c>
      <c r="AT26" s="10"/>
      <c r="AU26" s="7"/>
      <c r="AV26" s="7"/>
      <c r="AW26" s="17"/>
      <c r="AX26" s="7"/>
      <c r="AY26" s="7"/>
      <c r="AZ26" s="17"/>
      <c r="BA26" s="7"/>
      <c r="BB26" s="7"/>
      <c r="BC26" s="10"/>
      <c r="BD26" s="7"/>
      <c r="BE26" s="7"/>
      <c r="BF26" s="17"/>
      <c r="BG26" s="7"/>
      <c r="BH26" s="7"/>
      <c r="BI26" s="17"/>
      <c r="BJ26" s="7"/>
      <c r="BK26" s="7"/>
      <c r="BL26" s="10"/>
      <c r="BM26" s="7"/>
      <c r="BN26" s="7"/>
      <c r="BO26" s="17"/>
      <c r="BP26" s="7"/>
      <c r="BQ26" s="7"/>
      <c r="BR26" s="17"/>
      <c r="BS26" s="7"/>
      <c r="BT26" s="7"/>
    </row>
    <row r="27" spans="1:72" x14ac:dyDescent="0.25">
      <c r="A27" s="18"/>
      <c r="B27" s="7">
        <f>RANK(C27,C$8:C$37,0)</f>
        <v>20</v>
      </c>
      <c r="C27" s="7">
        <f>SUMIF($G$1:$BT$1,1,$G27:$BT27)</f>
        <v>318</v>
      </c>
      <c r="D27" s="10"/>
      <c r="E27" s="16" t="s">
        <v>81</v>
      </c>
      <c r="F27" s="10"/>
      <c r="G27" s="7">
        <v>212</v>
      </c>
      <c r="H27" s="7">
        <f>RANK(G27,G$8:G$37,0)</f>
        <v>20</v>
      </c>
      <c r="I27" s="7">
        <f>VLOOKUP(H27,'Место-баллы'!$A$3:$E$52,2,0)</f>
        <v>47</v>
      </c>
      <c r="J27" s="10"/>
      <c r="K27" s="17" t="s">
        <v>109</v>
      </c>
      <c r="L27" s="7"/>
      <c r="M27" s="7">
        <v>6</v>
      </c>
      <c r="N27" s="7">
        <f>VLOOKUP(M27,'Место-баллы'!$A$3:$E$52,2,0)</f>
        <v>75</v>
      </c>
      <c r="O27" s="10"/>
      <c r="P27" s="7">
        <v>11</v>
      </c>
      <c r="Q27" s="7">
        <f>RANK(P27,P$8:P$37,0)</f>
        <v>28</v>
      </c>
      <c r="R27" s="7">
        <f>VLOOKUP(Q27,'Место-баллы'!$A$3:$E$52,2,0)</f>
        <v>31</v>
      </c>
      <c r="S27" s="10"/>
      <c r="T27" s="7">
        <v>4</v>
      </c>
      <c r="U27" s="7">
        <v>27</v>
      </c>
      <c r="V27" s="17">
        <f>TIME(0,T27,U27)</f>
        <v>3.0902777777777782E-3</v>
      </c>
      <c r="W27" s="7">
        <v>90</v>
      </c>
      <c r="X27" s="7">
        <f>W$2-W27</f>
        <v>0</v>
      </c>
      <c r="Y27" s="17">
        <f>V27+TIME(0,0,X27)</f>
        <v>3.0902777777777782E-3</v>
      </c>
      <c r="Z27" s="7">
        <f>RANK(Y27,Y$8:Y$37,1)</f>
        <v>14</v>
      </c>
      <c r="AA27" s="7">
        <f>VLOOKUP(Z27,'Место-баллы'!$A$3:$E$52,2,0)</f>
        <v>59</v>
      </c>
      <c r="AB27" s="10"/>
      <c r="AC27" s="7">
        <v>6</v>
      </c>
      <c r="AD27" s="7">
        <v>5</v>
      </c>
      <c r="AE27" s="17">
        <f>TIME(0,AC27,AD27)</f>
        <v>4.2245370370370371E-3</v>
      </c>
      <c r="AF27" s="7">
        <f>69+19</f>
        <v>88</v>
      </c>
      <c r="AG27" s="7">
        <f>AF$2-AF27</f>
        <v>2</v>
      </c>
      <c r="AH27" s="17">
        <f>AE27+TIME(0,0,AG27)</f>
        <v>4.2476851851851851E-3</v>
      </c>
      <c r="AI27" s="7">
        <f>RANK(AH27,AH$8:AH$37,1)</f>
        <v>14</v>
      </c>
      <c r="AJ27" s="7">
        <f>VLOOKUP(AI27,'Место-баллы'!$A$3:$E$52,2,0)</f>
        <v>59</v>
      </c>
      <c r="AK27" s="10"/>
      <c r="AL27" s="7">
        <v>6</v>
      </c>
      <c r="AM27" s="7">
        <v>56</v>
      </c>
      <c r="AN27" s="17">
        <f>TIME(0,AL27,AM27)</f>
        <v>4.8148148148148152E-3</v>
      </c>
      <c r="AO27" s="7">
        <v>260</v>
      </c>
      <c r="AP27" s="7">
        <f>AO$2-AO27</f>
        <v>0</v>
      </c>
      <c r="AQ27" s="17">
        <f>AN27+TIME(0,0,AP27)</f>
        <v>4.8148148148148152E-3</v>
      </c>
      <c r="AR27" s="7">
        <f>RANK(AQ27,AQ$8:AQ$37,1)</f>
        <v>20</v>
      </c>
      <c r="AS27" s="7">
        <f>VLOOKUP(AR27,'Место-баллы'!$A$3:$E$52,2,0)</f>
        <v>47</v>
      </c>
      <c r="AT27" s="10"/>
      <c r="AU27" s="7"/>
      <c r="AV27" s="7"/>
      <c r="AW27" s="17"/>
      <c r="AX27" s="7"/>
      <c r="AY27" s="7"/>
      <c r="AZ27" s="17"/>
      <c r="BA27" s="7"/>
      <c r="BB27" s="7"/>
      <c r="BC27" s="10"/>
      <c r="BD27" s="7"/>
      <c r="BE27" s="7"/>
      <c r="BF27" s="17"/>
      <c r="BG27" s="7"/>
      <c r="BH27" s="7"/>
      <c r="BI27" s="17"/>
      <c r="BJ27" s="7"/>
      <c r="BK27" s="7"/>
      <c r="BL27" s="10"/>
      <c r="BM27" s="7"/>
      <c r="BN27" s="7"/>
      <c r="BO27" s="17"/>
      <c r="BP27" s="7"/>
      <c r="BQ27" s="7"/>
      <c r="BR27" s="17"/>
      <c r="BS27" s="7"/>
      <c r="BT27" s="7"/>
    </row>
    <row r="28" spans="1:72" x14ac:dyDescent="0.25">
      <c r="A28" s="18"/>
      <c r="B28" s="7">
        <f>RANK(C28,C$8:C$37,0)</f>
        <v>21</v>
      </c>
      <c r="C28" s="7">
        <f>SUMIF($G$1:$BT$1,1,$G28:$BT28)</f>
        <v>284</v>
      </c>
      <c r="D28" s="10"/>
      <c r="E28" s="16" t="s">
        <v>60</v>
      </c>
      <c r="F28" s="10"/>
      <c r="G28" s="7">
        <v>200</v>
      </c>
      <c r="H28" s="7">
        <f>RANK(G28,G$8:G$37,0)</f>
        <v>24</v>
      </c>
      <c r="I28" s="7">
        <f>VLOOKUP(H28,'Место-баллы'!$A$3:$E$52,2,0)</f>
        <v>39</v>
      </c>
      <c r="J28" s="10"/>
      <c r="K28" s="17" t="s">
        <v>91</v>
      </c>
      <c r="L28" s="7"/>
      <c r="M28" s="7">
        <v>15</v>
      </c>
      <c r="N28" s="7">
        <f>VLOOKUP(M28,'Место-баллы'!$A$3:$E$52,2,0)</f>
        <v>57</v>
      </c>
      <c r="O28" s="10"/>
      <c r="P28" s="7">
        <v>15</v>
      </c>
      <c r="Q28" s="7">
        <f>RANK(P28,P$8:P$37,0)</f>
        <v>26</v>
      </c>
      <c r="R28" s="7">
        <f>VLOOKUP(Q28,'Место-баллы'!$A$3:$E$52,2,0)</f>
        <v>35</v>
      </c>
      <c r="S28" s="10"/>
      <c r="T28" s="7">
        <v>5</v>
      </c>
      <c r="U28" s="7">
        <v>10</v>
      </c>
      <c r="V28" s="17">
        <f>TIME(0,T28,U28)</f>
        <v>3.5879629629629629E-3</v>
      </c>
      <c r="W28" s="7">
        <v>90</v>
      </c>
      <c r="X28" s="7">
        <f>W$2-W28</f>
        <v>0</v>
      </c>
      <c r="Y28" s="17">
        <f>V28+TIME(0,0,X28)</f>
        <v>3.5879629629629629E-3</v>
      </c>
      <c r="Z28" s="7">
        <f>RANK(Y28,Y$8:Y$37,1)</f>
        <v>20</v>
      </c>
      <c r="AA28" s="7">
        <f>VLOOKUP(Z28,'Место-баллы'!$A$3:$E$52,2,0)</f>
        <v>47</v>
      </c>
      <c r="AB28" s="10"/>
      <c r="AC28" s="7">
        <v>6</v>
      </c>
      <c r="AD28" s="7">
        <v>5</v>
      </c>
      <c r="AE28" s="17">
        <f>TIME(0,AC28,AD28)</f>
        <v>4.2245370370370371E-3</v>
      </c>
      <c r="AF28" s="7">
        <f>48+12</f>
        <v>60</v>
      </c>
      <c r="AG28" s="7">
        <f>AF$2-AF28</f>
        <v>30</v>
      </c>
      <c r="AH28" s="17">
        <f>AE28+TIME(0,0,AG28)</f>
        <v>4.5717592592592589E-3</v>
      </c>
      <c r="AI28" s="7">
        <f>RANK(AH28,AH$8:AH$37,1)</f>
        <v>21</v>
      </c>
      <c r="AJ28" s="7">
        <f>VLOOKUP(AI28,'Место-баллы'!$A$3:$E$52,2,0)</f>
        <v>45</v>
      </c>
      <c r="AK28" s="10"/>
      <c r="AL28" s="7">
        <v>5</v>
      </c>
      <c r="AM28" s="7">
        <v>55</v>
      </c>
      <c r="AN28" s="17">
        <f>TIME(0,AL28,AM28)</f>
        <v>4.108796296296297E-3</v>
      </c>
      <c r="AO28" s="7">
        <v>260</v>
      </c>
      <c r="AP28" s="7">
        <f>AO$2-AO28</f>
        <v>0</v>
      </c>
      <c r="AQ28" s="17">
        <f>AN28+TIME(0,0,AP28)</f>
        <v>4.108796296296297E-3</v>
      </c>
      <c r="AR28" s="7">
        <f>RANK(AQ28,AQ$8:AQ$37,1)</f>
        <v>13</v>
      </c>
      <c r="AS28" s="7">
        <f>VLOOKUP(AR28,'Место-баллы'!$A$3:$E$52,2,0)</f>
        <v>61</v>
      </c>
      <c r="AT28" s="10"/>
      <c r="AU28" s="7"/>
      <c r="AV28" s="7"/>
      <c r="AW28" s="17"/>
      <c r="AX28" s="7"/>
      <c r="AY28" s="7"/>
      <c r="AZ28" s="17"/>
      <c r="BA28" s="7"/>
      <c r="BB28" s="7"/>
      <c r="BC28" s="10"/>
      <c r="BD28" s="7"/>
      <c r="BE28" s="7"/>
      <c r="BF28" s="17"/>
      <c r="BG28" s="7"/>
      <c r="BH28" s="7"/>
      <c r="BI28" s="17"/>
      <c r="BJ28" s="7"/>
      <c r="BK28" s="7"/>
      <c r="BL28" s="10"/>
      <c r="BM28" s="7"/>
      <c r="BN28" s="7"/>
      <c r="BO28" s="17"/>
      <c r="BP28" s="7"/>
      <c r="BQ28" s="7"/>
      <c r="BR28" s="17"/>
      <c r="BS28" s="7"/>
      <c r="BT28" s="7"/>
    </row>
    <row r="29" spans="1:72" x14ac:dyDescent="0.25">
      <c r="A29" s="18"/>
      <c r="B29" s="7">
        <f>RANK(C29,C$8:C$37,0)</f>
        <v>22</v>
      </c>
      <c r="C29" s="7">
        <f>SUMIF($G$1:$BT$1,1,$G29:$BT29)</f>
        <v>272</v>
      </c>
      <c r="D29" s="10"/>
      <c r="E29" s="16" t="s">
        <v>75</v>
      </c>
      <c r="F29" s="10"/>
      <c r="G29" s="7">
        <v>205</v>
      </c>
      <c r="H29" s="7">
        <f>RANK(G29,G$8:G$37,0)</f>
        <v>22</v>
      </c>
      <c r="I29" s="7">
        <f>VLOOKUP(H29,'Место-баллы'!$A$3:$E$52,2,0)</f>
        <v>43</v>
      </c>
      <c r="J29" s="10"/>
      <c r="K29" s="17"/>
      <c r="L29" s="7">
        <v>4929</v>
      </c>
      <c r="M29" s="7">
        <v>24</v>
      </c>
      <c r="N29" s="7">
        <f>VLOOKUP(M29,'Место-баллы'!$A$3:$E$52,2,0)</f>
        <v>39</v>
      </c>
      <c r="O29" s="10"/>
      <c r="P29" s="7">
        <v>21</v>
      </c>
      <c r="Q29" s="7">
        <f>RANK(P29,P$8:P$37,0)</f>
        <v>19</v>
      </c>
      <c r="R29" s="7">
        <f>VLOOKUP(Q29,'Место-баллы'!$A$3:$E$52,2,0)</f>
        <v>49</v>
      </c>
      <c r="S29" s="10"/>
      <c r="T29" s="7">
        <v>4</v>
      </c>
      <c r="U29" s="7">
        <v>39</v>
      </c>
      <c r="V29" s="17">
        <f>TIME(0,T29,U29)</f>
        <v>3.2291666666666666E-3</v>
      </c>
      <c r="W29" s="7">
        <v>90</v>
      </c>
      <c r="X29" s="7">
        <f>W$2-W29</f>
        <v>0</v>
      </c>
      <c r="Y29" s="17">
        <f>V29+TIME(0,0,X29)</f>
        <v>3.2291666666666666E-3</v>
      </c>
      <c r="Z29" s="7">
        <f>RANK(Y29,Y$8:Y$37,1)</f>
        <v>15</v>
      </c>
      <c r="AA29" s="7">
        <f>VLOOKUP(Z29,'Место-баллы'!$A$3:$E$52,2,0)</f>
        <v>57</v>
      </c>
      <c r="AB29" s="10"/>
      <c r="AC29" s="7">
        <v>6</v>
      </c>
      <c r="AD29" s="7">
        <v>5</v>
      </c>
      <c r="AE29" s="17">
        <f>TIME(0,AC29,AD29)</f>
        <v>4.2245370370370371E-3</v>
      </c>
      <c r="AF29" s="7">
        <v>58</v>
      </c>
      <c r="AG29" s="7">
        <f>AF$2-AF29</f>
        <v>32</v>
      </c>
      <c r="AH29" s="17">
        <f>AE29+TIME(0,0,AG29)</f>
        <v>4.5949074074074078E-3</v>
      </c>
      <c r="AI29" s="7">
        <f>RANK(AH29,AH$8:AH$37,1)</f>
        <v>23</v>
      </c>
      <c r="AJ29" s="7">
        <f>VLOOKUP(AI29,'Место-баллы'!$A$3:$E$52,2,0)</f>
        <v>41</v>
      </c>
      <c r="AK29" s="10"/>
      <c r="AL29" s="7">
        <v>8</v>
      </c>
      <c r="AM29" s="7">
        <v>1</v>
      </c>
      <c r="AN29" s="17">
        <f>TIME(0,AL29,AM29)</f>
        <v>5.5671296296296302E-3</v>
      </c>
      <c r="AO29" s="7">
        <v>260</v>
      </c>
      <c r="AP29" s="7">
        <f>AO$2-AO29</f>
        <v>0</v>
      </c>
      <c r="AQ29" s="17">
        <f>AN29+TIME(0,0,AP29)</f>
        <v>5.5671296296296302E-3</v>
      </c>
      <c r="AR29" s="7">
        <f>RANK(AQ29,AQ$8:AQ$37,1)</f>
        <v>22</v>
      </c>
      <c r="AS29" s="7">
        <f>VLOOKUP(AR29,'Место-баллы'!$A$3:$E$52,2,0)</f>
        <v>43</v>
      </c>
      <c r="AT29" s="10"/>
      <c r="AU29" s="7"/>
      <c r="AV29" s="7"/>
      <c r="AW29" s="17"/>
      <c r="AX29" s="7"/>
      <c r="AY29" s="7"/>
      <c r="AZ29" s="17"/>
      <c r="BA29" s="7"/>
      <c r="BB29" s="7"/>
      <c r="BC29" s="10"/>
      <c r="BD29" s="7"/>
      <c r="BE29" s="7"/>
      <c r="BF29" s="17"/>
      <c r="BG29" s="7"/>
      <c r="BH29" s="7"/>
      <c r="BI29" s="17"/>
      <c r="BJ29" s="7"/>
      <c r="BK29" s="7"/>
      <c r="BL29" s="10"/>
      <c r="BM29" s="7"/>
      <c r="BN29" s="7"/>
      <c r="BO29" s="17"/>
      <c r="BP29" s="7"/>
      <c r="BQ29" s="7"/>
      <c r="BR29" s="17"/>
      <c r="BS29" s="7"/>
      <c r="BT29" s="7"/>
    </row>
    <row r="30" spans="1:72" x14ac:dyDescent="0.25">
      <c r="A30" s="18"/>
      <c r="B30" s="7">
        <f>RANK(C30,C$8:C$37,0)</f>
        <v>23</v>
      </c>
      <c r="C30" s="7">
        <f>SUMIF($G$1:$BT$1,1,$G30:$BT30)</f>
        <v>268</v>
      </c>
      <c r="D30" s="10"/>
      <c r="E30" s="16" t="s">
        <v>62</v>
      </c>
      <c r="F30" s="10"/>
      <c r="G30" s="7">
        <v>220</v>
      </c>
      <c r="H30" s="7">
        <f>RANK(G30,G$8:G$37,0)</f>
        <v>17</v>
      </c>
      <c r="I30" s="7">
        <f>VLOOKUP(H30,'Место-баллы'!$A$3:$E$52,2,0)</f>
        <v>53</v>
      </c>
      <c r="J30" s="10"/>
      <c r="K30" s="17"/>
      <c r="L30" s="7">
        <v>4912</v>
      </c>
      <c r="M30" s="7">
        <v>25</v>
      </c>
      <c r="N30" s="7">
        <f>VLOOKUP(M30,'Место-баллы'!$A$3:$E$52,2,0)</f>
        <v>37</v>
      </c>
      <c r="O30" s="10"/>
      <c r="P30" s="7">
        <v>22</v>
      </c>
      <c r="Q30" s="7">
        <f>RANK(P30,P$8:P$37,0)</f>
        <v>18</v>
      </c>
      <c r="R30" s="7">
        <f>VLOOKUP(Q30,'Место-баллы'!$A$3:$E$52,2,0)</f>
        <v>51</v>
      </c>
      <c r="S30" s="10"/>
      <c r="T30" s="7">
        <v>6</v>
      </c>
      <c r="U30" s="7">
        <v>5</v>
      </c>
      <c r="V30" s="17">
        <f>TIME(0,T30,U30)</f>
        <v>4.2245370370370371E-3</v>
      </c>
      <c r="W30" s="7">
        <f>57+11</f>
        <v>68</v>
      </c>
      <c r="X30" s="7">
        <f>W$2-W30</f>
        <v>22</v>
      </c>
      <c r="Y30" s="17">
        <f>V30+TIME(0,0,X30)</f>
        <v>4.4791666666666669E-3</v>
      </c>
      <c r="Z30" s="7">
        <f>RANK(Y30,Y$8:Y$37,1)</f>
        <v>24</v>
      </c>
      <c r="AA30" s="7">
        <f>VLOOKUP(Z30,'Место-баллы'!$A$3:$E$52,2,0)</f>
        <v>39</v>
      </c>
      <c r="AB30" s="10"/>
      <c r="AC30" s="7">
        <v>6</v>
      </c>
      <c r="AD30" s="7">
        <v>5</v>
      </c>
      <c r="AE30" s="17">
        <f>TIME(0,AC30,AD30)</f>
        <v>4.2245370370370371E-3</v>
      </c>
      <c r="AF30" s="7">
        <f>48+7</f>
        <v>55</v>
      </c>
      <c r="AG30" s="7">
        <f>AF$2-AF30</f>
        <v>35</v>
      </c>
      <c r="AH30" s="17">
        <f>AE30+TIME(0,0,AG30)</f>
        <v>4.6296296296296294E-3</v>
      </c>
      <c r="AI30" s="7">
        <f>RANK(AH30,AH$8:AH$37,1)</f>
        <v>25</v>
      </c>
      <c r="AJ30" s="7">
        <f>VLOOKUP(AI30,'Место-баллы'!$A$3:$E$52,2,0)</f>
        <v>37</v>
      </c>
      <c r="AK30" s="10"/>
      <c r="AL30" s="7">
        <v>6</v>
      </c>
      <c r="AM30" s="7">
        <v>45</v>
      </c>
      <c r="AN30" s="17">
        <f>TIME(0,AL30,AM30)</f>
        <v>4.6874999999999998E-3</v>
      </c>
      <c r="AO30" s="7">
        <v>260</v>
      </c>
      <c r="AP30" s="7">
        <f>AO$2-AO30</f>
        <v>0</v>
      </c>
      <c r="AQ30" s="17">
        <f>AN30+TIME(0,0,AP30)</f>
        <v>4.6874999999999998E-3</v>
      </c>
      <c r="AR30" s="7">
        <f>RANK(AQ30,AQ$8:AQ$37,1)</f>
        <v>18</v>
      </c>
      <c r="AS30" s="7">
        <f>VLOOKUP(AR30,'Место-баллы'!$A$3:$E$52,2,0)</f>
        <v>51</v>
      </c>
      <c r="AT30" s="10"/>
      <c r="AU30" s="7"/>
      <c r="AV30" s="7"/>
      <c r="AW30" s="17"/>
      <c r="AX30" s="7"/>
      <c r="AY30" s="7"/>
      <c r="AZ30" s="17"/>
      <c r="BA30" s="7"/>
      <c r="BB30" s="7"/>
      <c r="BC30" s="10"/>
      <c r="BD30" s="7"/>
      <c r="BE30" s="7"/>
      <c r="BF30" s="17"/>
      <c r="BG30" s="7"/>
      <c r="BH30" s="7"/>
      <c r="BI30" s="17"/>
      <c r="BJ30" s="7"/>
      <c r="BK30" s="7"/>
      <c r="BL30" s="10"/>
      <c r="BM30" s="7"/>
      <c r="BN30" s="7"/>
      <c r="BO30" s="17"/>
      <c r="BP30" s="7"/>
      <c r="BQ30" s="7"/>
      <c r="BR30" s="17"/>
      <c r="BS30" s="7"/>
      <c r="BT30" s="7"/>
    </row>
    <row r="31" spans="1:72" x14ac:dyDescent="0.25">
      <c r="A31" s="18"/>
      <c r="B31" s="7">
        <f>RANK(C31,C$8:C$37,0)</f>
        <v>24</v>
      </c>
      <c r="C31" s="7">
        <f>SUMIF($G$1:$BT$1,1,$G31:$BT31)</f>
        <v>248</v>
      </c>
      <c r="D31" s="10"/>
      <c r="E31" s="16" t="s">
        <v>69</v>
      </c>
      <c r="F31" s="10"/>
      <c r="G31" s="7">
        <v>170</v>
      </c>
      <c r="H31" s="7">
        <f>RANK(G31,G$8:G$37,0)</f>
        <v>29</v>
      </c>
      <c r="I31" s="7">
        <f>VLOOKUP(H31,'Место-баллы'!$A$3:$E$52,2,0)</f>
        <v>29</v>
      </c>
      <c r="J31" s="10"/>
      <c r="K31" s="20" t="s">
        <v>99</v>
      </c>
      <c r="L31" s="7"/>
      <c r="M31" s="7">
        <v>14</v>
      </c>
      <c r="N31" s="7">
        <f>VLOOKUP(M31,'Место-баллы'!$A$3:$E$52,2,0)</f>
        <v>59</v>
      </c>
      <c r="O31" s="10"/>
      <c r="P31" s="7">
        <v>6</v>
      </c>
      <c r="Q31" s="7">
        <f>RANK(P31,P$8:P$37,0)</f>
        <v>30</v>
      </c>
      <c r="R31" s="7">
        <f>VLOOKUP(Q31,'Место-баллы'!$A$3:$E$52,2,0)</f>
        <v>27</v>
      </c>
      <c r="S31" s="10"/>
      <c r="T31" s="7">
        <v>6</v>
      </c>
      <c r="U31" s="7">
        <v>5</v>
      </c>
      <c r="V31" s="17">
        <f>TIME(0,T31,U31)</f>
        <v>4.2245370370370371E-3</v>
      </c>
      <c r="W31" s="7">
        <f>42+6</f>
        <v>48</v>
      </c>
      <c r="X31" s="7">
        <f>W$2-W31</f>
        <v>42</v>
      </c>
      <c r="Y31" s="17">
        <f>V31+TIME(0,0,X31)</f>
        <v>4.7106481481481478E-3</v>
      </c>
      <c r="Z31" s="7">
        <f>RANK(Y31,Y$8:Y$37,1)</f>
        <v>25</v>
      </c>
      <c r="AA31" s="7">
        <f>VLOOKUP(Z31,'Место-баллы'!$A$3:$E$52,2,0)</f>
        <v>37</v>
      </c>
      <c r="AB31" s="10"/>
      <c r="AC31" s="7">
        <v>6</v>
      </c>
      <c r="AD31" s="7">
        <v>5</v>
      </c>
      <c r="AE31" s="17">
        <f>TIME(0,AC31,AD31)</f>
        <v>4.2245370370370371E-3</v>
      </c>
      <c r="AF31" s="7">
        <f>69+6</f>
        <v>75</v>
      </c>
      <c r="AG31" s="7">
        <f>AF$2-AF31</f>
        <v>15</v>
      </c>
      <c r="AH31" s="17">
        <f>AE31+TIME(0,0,AG31)</f>
        <v>4.3981481481481484E-3</v>
      </c>
      <c r="AI31" s="7">
        <f>RANK(AH31,AH$8:AH$37,1)</f>
        <v>17</v>
      </c>
      <c r="AJ31" s="7">
        <f>VLOOKUP(AI31,'Место-баллы'!$A$3:$E$52,2,0)</f>
        <v>53</v>
      </c>
      <c r="AK31" s="10"/>
      <c r="AL31" s="7">
        <v>8</v>
      </c>
      <c r="AM31" s="7">
        <v>1</v>
      </c>
      <c r="AN31" s="17">
        <f>TIME(0,AL31,AM31)</f>
        <v>5.5671296296296302E-3</v>
      </c>
      <c r="AO31" s="7">
        <v>260</v>
      </c>
      <c r="AP31" s="7">
        <f>AO$2-AO31</f>
        <v>0</v>
      </c>
      <c r="AQ31" s="17">
        <f>AN31+TIME(0,0,AP31)</f>
        <v>5.5671296296296302E-3</v>
      </c>
      <c r="AR31" s="7">
        <f>RANK(AQ31,AQ$8:AQ$37,1)</f>
        <v>22</v>
      </c>
      <c r="AS31" s="7">
        <f>VLOOKUP(AR31,'Место-баллы'!$A$3:$E$52,2,0)</f>
        <v>43</v>
      </c>
      <c r="AT31" s="10"/>
      <c r="AU31" s="7"/>
      <c r="AV31" s="7"/>
      <c r="AW31" s="17"/>
      <c r="AX31" s="7"/>
      <c r="AY31" s="7"/>
      <c r="AZ31" s="17"/>
      <c r="BA31" s="7"/>
      <c r="BB31" s="7"/>
      <c r="BC31" s="10"/>
      <c r="BD31" s="7"/>
      <c r="BE31" s="7"/>
      <c r="BF31" s="17"/>
      <c r="BG31" s="7"/>
      <c r="BH31" s="7"/>
      <c r="BI31" s="17"/>
      <c r="BJ31" s="7"/>
      <c r="BK31" s="7"/>
      <c r="BL31" s="10"/>
      <c r="BM31" s="7"/>
      <c r="BN31" s="7"/>
      <c r="BO31" s="17"/>
      <c r="BP31" s="7"/>
      <c r="BQ31" s="7"/>
      <c r="BR31" s="17"/>
      <c r="BS31" s="7"/>
      <c r="BT31" s="7"/>
    </row>
    <row r="32" spans="1:72" x14ac:dyDescent="0.25">
      <c r="A32" s="18"/>
      <c r="B32" s="7">
        <f>RANK(C32,C$8:C$37,0)</f>
        <v>25</v>
      </c>
      <c r="C32" s="7">
        <f>SUMIF($G$1:$BT$1,1,$G32:$BT32)</f>
        <v>234</v>
      </c>
      <c r="D32" s="10"/>
      <c r="E32" s="16" t="s">
        <v>76</v>
      </c>
      <c r="F32" s="10"/>
      <c r="G32" s="7">
        <v>200</v>
      </c>
      <c r="H32" s="7">
        <f>RANK(G32,G$8:G$37,0)</f>
        <v>24</v>
      </c>
      <c r="I32" s="7">
        <f>VLOOKUP(H32,'Место-баллы'!$A$3:$E$52,2,0)</f>
        <v>39</v>
      </c>
      <c r="J32" s="10"/>
      <c r="K32" s="17"/>
      <c r="L32" s="7">
        <v>4688</v>
      </c>
      <c r="M32" s="7">
        <v>28</v>
      </c>
      <c r="N32" s="7">
        <f>VLOOKUP(M32,'Место-баллы'!$A$3:$E$52,2,0)</f>
        <v>31</v>
      </c>
      <c r="O32" s="10"/>
      <c r="P32" s="7">
        <v>17</v>
      </c>
      <c r="Q32" s="7">
        <f>RANK(P32,P$8:P$37,0)</f>
        <v>25</v>
      </c>
      <c r="R32" s="7">
        <f>VLOOKUP(Q32,'Место-баллы'!$A$3:$E$52,2,0)</f>
        <v>37</v>
      </c>
      <c r="S32" s="10"/>
      <c r="T32" s="7">
        <v>5</v>
      </c>
      <c r="U32" s="7">
        <v>5</v>
      </c>
      <c r="V32" s="17">
        <f>TIME(0,T32,U32)</f>
        <v>3.530092592592592E-3</v>
      </c>
      <c r="W32" s="7">
        <v>90</v>
      </c>
      <c r="X32" s="7">
        <f>W$2-W32</f>
        <v>0</v>
      </c>
      <c r="Y32" s="17">
        <f>V32+TIME(0,0,X32)</f>
        <v>3.530092592592592E-3</v>
      </c>
      <c r="Z32" s="7">
        <f>RANK(Y32,Y$8:Y$37,1)</f>
        <v>18</v>
      </c>
      <c r="AA32" s="7">
        <f>VLOOKUP(Z32,'Место-баллы'!$A$3:$E$52,2,0)</f>
        <v>51</v>
      </c>
      <c r="AB32" s="10"/>
      <c r="AC32" s="7">
        <v>6</v>
      </c>
      <c r="AD32" s="7">
        <v>5</v>
      </c>
      <c r="AE32" s="17">
        <f>TIME(0,AC32,AD32)</f>
        <v>4.2245370370370371E-3</v>
      </c>
      <c r="AF32" s="7">
        <f>48+9</f>
        <v>57</v>
      </c>
      <c r="AG32" s="7">
        <f>AF$2-AF32</f>
        <v>33</v>
      </c>
      <c r="AH32" s="17">
        <f>AE32+TIME(0,0,AG32)</f>
        <v>4.6064814814814814E-3</v>
      </c>
      <c r="AI32" s="7">
        <f>RANK(AH32,AH$8:AH$37,1)</f>
        <v>24</v>
      </c>
      <c r="AJ32" s="7">
        <f>VLOOKUP(AI32,'Место-баллы'!$A$3:$E$52,2,0)</f>
        <v>39</v>
      </c>
      <c r="AK32" s="10"/>
      <c r="AL32" s="7">
        <v>9</v>
      </c>
      <c r="AM32" s="7">
        <v>5</v>
      </c>
      <c r="AN32" s="17">
        <f>TIME(0,AL32,AM32)</f>
        <v>6.3078703703703708E-3</v>
      </c>
      <c r="AO32" s="7">
        <v>260</v>
      </c>
      <c r="AP32" s="7">
        <f>AO$2-AO32</f>
        <v>0</v>
      </c>
      <c r="AQ32" s="17">
        <f>AN32+TIME(0,0,AP32)</f>
        <v>6.3078703703703708E-3</v>
      </c>
      <c r="AR32" s="7">
        <f>RANK(AQ32,AQ$8:AQ$37,1)</f>
        <v>25</v>
      </c>
      <c r="AS32" s="7">
        <f>VLOOKUP(AR32,'Место-баллы'!$A$3:$E$52,2,0)</f>
        <v>37</v>
      </c>
      <c r="AT32" s="10"/>
      <c r="AU32" s="7"/>
      <c r="AV32" s="7"/>
      <c r="AW32" s="17"/>
      <c r="AX32" s="7"/>
      <c r="AY32" s="7"/>
      <c r="AZ32" s="17"/>
      <c r="BA32" s="7"/>
      <c r="BB32" s="7"/>
      <c r="BC32" s="10"/>
      <c r="BD32" s="7"/>
      <c r="BE32" s="7"/>
      <c r="BF32" s="17"/>
      <c r="BG32" s="7"/>
      <c r="BH32" s="7"/>
      <c r="BI32" s="17"/>
      <c r="BJ32" s="7"/>
      <c r="BK32" s="7"/>
      <c r="BL32" s="10"/>
      <c r="BM32" s="7"/>
      <c r="BN32" s="7"/>
      <c r="BO32" s="17"/>
      <c r="BP32" s="7"/>
      <c r="BQ32" s="7"/>
      <c r="BR32" s="17"/>
      <c r="BS32" s="7"/>
      <c r="BT32" s="7"/>
    </row>
    <row r="33" spans="1:72" x14ac:dyDescent="0.25">
      <c r="A33" s="18"/>
      <c r="B33" s="7">
        <f>RANK(C33,C$8:C$37,0)</f>
        <v>26</v>
      </c>
      <c r="C33" s="7">
        <f>SUMIF($G$1:$BT$1,1,$G33:$BT33)</f>
        <v>191</v>
      </c>
      <c r="D33" s="10"/>
      <c r="E33" s="16" t="s">
        <v>78</v>
      </c>
      <c r="F33" s="10"/>
      <c r="G33" s="7">
        <v>241</v>
      </c>
      <c r="H33" s="7">
        <f>RANK(G33,G$8:G$37,0)</f>
        <v>7</v>
      </c>
      <c r="I33" s="7">
        <f>VLOOKUP(H33,'Место-баллы'!$A$3:$E$52,2,0)</f>
        <v>73</v>
      </c>
      <c r="J33" s="10"/>
      <c r="K33" s="20" t="s">
        <v>107</v>
      </c>
      <c r="L33" s="7"/>
      <c r="M33" s="7">
        <v>9</v>
      </c>
      <c r="N33" s="7">
        <f>VLOOKUP(M33,'Место-баллы'!$A$3:$E$52,2,0)</f>
        <v>69</v>
      </c>
      <c r="O33" s="10"/>
      <c r="P33" s="7">
        <v>21</v>
      </c>
      <c r="Q33" s="7">
        <f>RANK(P33,P$8:P$37,0)</f>
        <v>19</v>
      </c>
      <c r="R33" s="7">
        <f>VLOOKUP(Q33,'Место-баллы'!$A$3:$E$52,2,0)</f>
        <v>49</v>
      </c>
      <c r="S33" s="10"/>
      <c r="T33" s="7"/>
      <c r="U33" s="7"/>
      <c r="V33" s="17"/>
      <c r="W33" s="7"/>
      <c r="X33" s="7"/>
      <c r="Y33" s="17"/>
      <c r="Z33" s="7"/>
      <c r="AA33" s="7" t="s">
        <v>112</v>
      </c>
      <c r="AB33" s="10"/>
      <c r="AC33" s="7"/>
      <c r="AD33" s="7"/>
      <c r="AE33" s="17"/>
      <c r="AF33" s="7"/>
      <c r="AG33" s="7"/>
      <c r="AH33" s="17"/>
      <c r="AI33" s="7"/>
      <c r="AJ33" s="7" t="s">
        <v>88</v>
      </c>
      <c r="AK33" s="10"/>
      <c r="AL33" s="7"/>
      <c r="AM33" s="7"/>
      <c r="AN33" s="17"/>
      <c r="AO33" s="7"/>
      <c r="AP33" s="7"/>
      <c r="AQ33" s="17"/>
      <c r="AR33" s="7"/>
      <c r="AS33" s="7" t="s">
        <v>88</v>
      </c>
      <c r="AT33" s="10"/>
      <c r="AU33" s="7"/>
      <c r="AV33" s="7"/>
      <c r="AW33" s="17"/>
      <c r="AX33" s="7"/>
      <c r="AY33" s="7"/>
      <c r="AZ33" s="17"/>
      <c r="BA33" s="7"/>
      <c r="BB33" s="7"/>
      <c r="BC33" s="10"/>
      <c r="BD33" s="7"/>
      <c r="BE33" s="7"/>
      <c r="BF33" s="17"/>
      <c r="BG33" s="7"/>
      <c r="BH33" s="7"/>
      <c r="BI33" s="17"/>
      <c r="BJ33" s="7"/>
      <c r="BK33" s="7"/>
      <c r="BL33" s="10"/>
      <c r="BM33" s="7"/>
      <c r="BN33" s="7"/>
      <c r="BO33" s="17"/>
      <c r="BP33" s="7"/>
      <c r="BQ33" s="7"/>
      <c r="BR33" s="17"/>
      <c r="BS33" s="7"/>
      <c r="BT33" s="7"/>
    </row>
    <row r="34" spans="1:72" x14ac:dyDescent="0.25">
      <c r="A34" s="18"/>
      <c r="B34" s="7">
        <f>RANK(C34,C$8:C$37,0)</f>
        <v>27</v>
      </c>
      <c r="C34" s="7">
        <f>SUMIF($G$1:$BT$1,1,$G34:$BT34)</f>
        <v>190</v>
      </c>
      <c r="D34" s="10"/>
      <c r="E34" s="16" t="s">
        <v>59</v>
      </c>
      <c r="F34" s="10"/>
      <c r="G34" s="7">
        <v>135</v>
      </c>
      <c r="H34" s="7">
        <f>RANK(G34,G$8:G$37,0)</f>
        <v>30</v>
      </c>
      <c r="I34" s="7">
        <f>VLOOKUP(H34,'Место-баллы'!$A$3:$E$52,2,0)</f>
        <v>27</v>
      </c>
      <c r="J34" s="10"/>
      <c r="K34" s="17"/>
      <c r="L34" s="7">
        <v>4661</v>
      </c>
      <c r="M34" s="7">
        <v>29</v>
      </c>
      <c r="N34" s="7">
        <f>VLOOKUP(M34,'Место-баллы'!$A$3:$E$52,2,0)</f>
        <v>29</v>
      </c>
      <c r="O34" s="10"/>
      <c r="P34" s="7">
        <v>7</v>
      </c>
      <c r="Q34" s="7">
        <f>RANK(P34,P$8:P$37,0)</f>
        <v>29</v>
      </c>
      <c r="R34" s="7">
        <f>VLOOKUP(Q34,'Место-баллы'!$A$3:$E$52,2,0)</f>
        <v>29</v>
      </c>
      <c r="S34" s="10"/>
      <c r="T34" s="7">
        <v>6</v>
      </c>
      <c r="U34" s="7">
        <v>5</v>
      </c>
      <c r="V34" s="17">
        <f>TIME(0,T34,U34)</f>
        <v>4.2245370370370371E-3</v>
      </c>
      <c r="W34" s="7">
        <v>47</v>
      </c>
      <c r="X34" s="7">
        <f>W$2-W34</f>
        <v>43</v>
      </c>
      <c r="Y34" s="17">
        <f>V34+TIME(0,0,X34)</f>
        <v>4.7222222222222223E-3</v>
      </c>
      <c r="Z34" s="7">
        <f>RANK(Y34,Y$8:Y$37,1)</f>
        <v>26</v>
      </c>
      <c r="AA34" s="7">
        <f>VLOOKUP(Z34,'Место-баллы'!$A$3:$E$52,2,0)</f>
        <v>35</v>
      </c>
      <c r="AB34" s="10"/>
      <c r="AC34" s="7">
        <v>6</v>
      </c>
      <c r="AD34" s="7">
        <v>5</v>
      </c>
      <c r="AE34" s="17">
        <f>TIME(0,AC34,AD34)</f>
        <v>4.2245370370370371E-3</v>
      </c>
      <c r="AF34" s="7">
        <v>48</v>
      </c>
      <c r="AG34" s="7">
        <f>AF$2-AF34</f>
        <v>42</v>
      </c>
      <c r="AH34" s="17">
        <f>AE34+TIME(0,0,AG34)</f>
        <v>4.7106481481481478E-3</v>
      </c>
      <c r="AI34" s="7">
        <f>RANK(AH34,AH$8:AH$37,1)</f>
        <v>26</v>
      </c>
      <c r="AJ34" s="7">
        <f>VLOOKUP(AI34,'Место-баллы'!$A$3:$E$52,2,0)</f>
        <v>35</v>
      </c>
      <c r="AK34" s="10"/>
      <c r="AL34" s="7">
        <v>9</v>
      </c>
      <c r="AM34" s="7">
        <v>5</v>
      </c>
      <c r="AN34" s="17">
        <f>TIME(0,AL34,AM34)</f>
        <v>6.3078703703703708E-3</v>
      </c>
      <c r="AO34" s="7">
        <v>198</v>
      </c>
      <c r="AP34" s="7">
        <f>AO$2-AO34</f>
        <v>62</v>
      </c>
      <c r="AQ34" s="17">
        <f>AN34+TIME(0,0,AP34)</f>
        <v>7.0254629629629634E-3</v>
      </c>
      <c r="AR34" s="7">
        <f>RANK(AQ34,AQ$8:AQ$37,1)</f>
        <v>26</v>
      </c>
      <c r="AS34" s="7">
        <f>VLOOKUP(AR34,'Место-баллы'!$A$3:$E$52,2,0)</f>
        <v>35</v>
      </c>
      <c r="AT34" s="10"/>
      <c r="AU34" s="7"/>
      <c r="AV34" s="7"/>
      <c r="AW34" s="17"/>
      <c r="AX34" s="7"/>
      <c r="AY34" s="7"/>
      <c r="AZ34" s="17"/>
      <c r="BA34" s="7"/>
      <c r="BB34" s="7"/>
      <c r="BC34" s="10"/>
      <c r="BD34" s="7"/>
      <c r="BE34" s="7"/>
      <c r="BF34" s="17"/>
      <c r="BG34" s="7"/>
      <c r="BH34" s="7"/>
      <c r="BI34" s="17"/>
      <c r="BJ34" s="7"/>
      <c r="BK34" s="7"/>
      <c r="BL34" s="10"/>
      <c r="BM34" s="7"/>
      <c r="BN34" s="7"/>
      <c r="BO34" s="17"/>
      <c r="BP34" s="7"/>
      <c r="BQ34" s="7"/>
      <c r="BR34" s="17"/>
      <c r="BS34" s="7"/>
      <c r="BT34" s="7"/>
    </row>
    <row r="35" spans="1:72" x14ac:dyDescent="0.25">
      <c r="A35" s="18"/>
      <c r="B35" s="7">
        <f>RANK(C35,C$8:C$37,0)</f>
        <v>28</v>
      </c>
      <c r="C35" s="7">
        <f>SUMIF($G$1:$BT$1,1,$G35:$BT35)</f>
        <v>189</v>
      </c>
      <c r="D35" s="10"/>
      <c r="E35" s="16" t="s">
        <v>21</v>
      </c>
      <c r="F35" s="10"/>
      <c r="G35" s="7">
        <v>238</v>
      </c>
      <c r="H35" s="7">
        <f>RANK(G35,G$8:G$37,0)</f>
        <v>11</v>
      </c>
      <c r="I35" s="7">
        <f>VLOOKUP(H35,'Место-баллы'!$A$3:$E$52,2,0)</f>
        <v>65</v>
      </c>
      <c r="J35" s="10"/>
      <c r="K35" s="20" t="s">
        <v>95</v>
      </c>
      <c r="L35" s="7"/>
      <c r="M35" s="7">
        <v>13</v>
      </c>
      <c r="N35" s="7">
        <f>VLOOKUP(M35,'Место-баллы'!$A$3:$E$52,2,0)</f>
        <v>61</v>
      </c>
      <c r="O35" s="10"/>
      <c r="P35" s="7">
        <v>29</v>
      </c>
      <c r="Q35" s="7">
        <f>RANK(P35,P$8:P$37,0)</f>
        <v>12</v>
      </c>
      <c r="R35" s="7">
        <f>VLOOKUP(Q35,'Место-баллы'!$A$3:$E$52,2,0)</f>
        <v>63</v>
      </c>
      <c r="S35" s="10"/>
      <c r="T35" s="7"/>
      <c r="U35" s="7"/>
      <c r="V35" s="17"/>
      <c r="W35" s="7"/>
      <c r="X35" s="7"/>
      <c r="Y35" s="17"/>
      <c r="Z35" s="7"/>
      <c r="AA35" s="7" t="s">
        <v>112</v>
      </c>
      <c r="AB35" s="10"/>
      <c r="AC35" s="7"/>
      <c r="AD35" s="7"/>
      <c r="AE35" s="17"/>
      <c r="AF35" s="7"/>
      <c r="AG35" s="7"/>
      <c r="AH35" s="17"/>
      <c r="AI35" s="7"/>
      <c r="AJ35" s="21" t="s">
        <v>88</v>
      </c>
      <c r="AK35" s="10"/>
      <c r="AL35" s="7"/>
      <c r="AM35" s="7"/>
      <c r="AN35" s="17"/>
      <c r="AO35" s="7"/>
      <c r="AP35" s="7"/>
      <c r="AQ35" s="17"/>
      <c r="AR35" s="7"/>
      <c r="AS35" s="21" t="s">
        <v>88</v>
      </c>
      <c r="AT35" s="10"/>
      <c r="AU35" s="7"/>
      <c r="AV35" s="7"/>
      <c r="AW35" s="17"/>
      <c r="AX35" s="7"/>
      <c r="AY35" s="7"/>
      <c r="AZ35" s="17"/>
      <c r="BA35" s="7"/>
      <c r="BB35" s="21"/>
      <c r="BC35" s="10"/>
      <c r="BD35" s="7"/>
      <c r="BE35" s="7"/>
      <c r="BF35" s="17"/>
      <c r="BG35" s="7"/>
      <c r="BH35" s="7"/>
      <c r="BI35" s="17"/>
      <c r="BJ35" s="7"/>
      <c r="BK35" s="21"/>
      <c r="BL35" s="10"/>
      <c r="BM35" s="7"/>
      <c r="BN35" s="7"/>
      <c r="BO35" s="17"/>
      <c r="BP35" s="7"/>
      <c r="BQ35" s="7"/>
      <c r="BR35" s="17"/>
      <c r="BS35" s="7"/>
      <c r="BT35" s="21"/>
    </row>
    <row r="36" spans="1:72" x14ac:dyDescent="0.25">
      <c r="A36" s="18"/>
      <c r="B36" s="7">
        <f>RANK(C36,C$8:C$37,0)</f>
        <v>29</v>
      </c>
      <c r="C36" s="7">
        <f>SUMIF($G$1:$BT$1,1,$G36:$BT36)</f>
        <v>159</v>
      </c>
      <c r="D36" s="10"/>
      <c r="E36" s="16" t="s">
        <v>22</v>
      </c>
      <c r="F36" s="10"/>
      <c r="G36" s="7">
        <v>202</v>
      </c>
      <c r="H36" s="7">
        <f>RANK(G36,G$8:G$37,0)</f>
        <v>23</v>
      </c>
      <c r="I36" s="7">
        <f>VLOOKUP(H36,'Место-баллы'!$A$3:$E$52,2,0)</f>
        <v>41</v>
      </c>
      <c r="J36" s="10"/>
      <c r="K36" s="17" t="s">
        <v>90</v>
      </c>
      <c r="L36" s="7"/>
      <c r="M36" s="7">
        <v>12</v>
      </c>
      <c r="N36" s="7">
        <f>VLOOKUP(M36,'Место-баллы'!$A$3:$E$52,2,0)</f>
        <v>63</v>
      </c>
      <c r="O36" s="10"/>
      <c r="P36" s="7">
        <v>26</v>
      </c>
      <c r="Q36" s="7">
        <f>RANK(P36,P$8:P$37,0)</f>
        <v>16</v>
      </c>
      <c r="R36" s="7">
        <f>VLOOKUP(Q36,'Место-баллы'!$A$3:$E$52,2,0)</f>
        <v>55</v>
      </c>
      <c r="S36" s="10"/>
      <c r="T36" s="7"/>
      <c r="U36" s="7"/>
      <c r="V36" s="17"/>
      <c r="W36" s="7"/>
      <c r="X36" s="7"/>
      <c r="Y36" s="17"/>
      <c r="Z36" s="7"/>
      <c r="AA36" s="7" t="s">
        <v>112</v>
      </c>
      <c r="AB36" s="10"/>
      <c r="AC36" s="7"/>
      <c r="AD36" s="7"/>
      <c r="AE36" s="17"/>
      <c r="AF36" s="7"/>
      <c r="AG36" s="7"/>
      <c r="AH36" s="17"/>
      <c r="AI36" s="7"/>
      <c r="AJ36" s="7" t="s">
        <v>88</v>
      </c>
      <c r="AK36" s="10"/>
      <c r="AL36" s="7"/>
      <c r="AM36" s="7"/>
      <c r="AN36" s="17"/>
      <c r="AO36" s="7"/>
      <c r="AP36" s="7"/>
      <c r="AQ36" s="17"/>
      <c r="AR36" s="7"/>
      <c r="AS36" s="7" t="s">
        <v>88</v>
      </c>
      <c r="AT36" s="10"/>
      <c r="AU36" s="7"/>
      <c r="AV36" s="7"/>
      <c r="AW36" s="17"/>
      <c r="AX36" s="7"/>
      <c r="AY36" s="7"/>
      <c r="AZ36" s="17"/>
      <c r="BA36" s="7"/>
      <c r="BB36" s="7"/>
      <c r="BC36" s="10"/>
      <c r="BD36" s="7"/>
      <c r="BE36" s="7"/>
      <c r="BF36" s="17"/>
      <c r="BG36" s="7"/>
      <c r="BH36" s="7"/>
      <c r="BI36" s="17"/>
      <c r="BJ36" s="7"/>
      <c r="BK36" s="7"/>
      <c r="BL36" s="10"/>
      <c r="BM36" s="7"/>
      <c r="BN36" s="7"/>
      <c r="BO36" s="17"/>
      <c r="BP36" s="7"/>
      <c r="BQ36" s="7"/>
      <c r="BR36" s="17"/>
      <c r="BS36" s="7"/>
      <c r="BT36" s="7"/>
    </row>
    <row r="37" spans="1:72" x14ac:dyDescent="0.25">
      <c r="A37" s="18"/>
      <c r="B37" s="7">
        <f>RANK(C37,C$8:C$37,0)</f>
        <v>30</v>
      </c>
      <c r="C37" s="7">
        <f>SUMIF($G$1:$BT$1,1,$G37:$BT37)</f>
        <v>125</v>
      </c>
      <c r="D37" s="10"/>
      <c r="E37" s="16" t="s">
        <v>80</v>
      </c>
      <c r="F37" s="10"/>
      <c r="G37" s="7">
        <v>220</v>
      </c>
      <c r="H37" s="7">
        <f>RANK(G37,G$8:G$37,0)</f>
        <v>17</v>
      </c>
      <c r="I37" s="7">
        <f>VLOOKUP(H37,'Место-баллы'!$A$3:$E$52,2,0)</f>
        <v>53</v>
      </c>
      <c r="J37" s="10"/>
      <c r="K37" s="17"/>
      <c r="L37" s="7">
        <v>4518</v>
      </c>
      <c r="M37" s="7">
        <v>30</v>
      </c>
      <c r="N37" s="7">
        <f>VLOOKUP(M37,'Место-баллы'!$A$3:$E$52,2,0)</f>
        <v>27</v>
      </c>
      <c r="O37" s="10"/>
      <c r="P37" s="7">
        <v>20</v>
      </c>
      <c r="Q37" s="7">
        <f>RANK(P37,P$8:P$37,0)</f>
        <v>21</v>
      </c>
      <c r="R37" s="7">
        <f>VLOOKUP(Q37,'Место-баллы'!$A$3:$E$52,2,0)</f>
        <v>45</v>
      </c>
      <c r="S37" s="10"/>
      <c r="T37" s="7"/>
      <c r="U37" s="7"/>
      <c r="V37" s="17"/>
      <c r="W37" s="7"/>
      <c r="X37" s="7"/>
      <c r="Y37" s="17"/>
      <c r="Z37" s="7"/>
      <c r="AA37" s="7" t="s">
        <v>112</v>
      </c>
      <c r="AB37" s="10"/>
      <c r="AC37" s="7"/>
      <c r="AD37" s="7"/>
      <c r="AE37" s="17"/>
      <c r="AF37" s="7"/>
      <c r="AG37" s="7"/>
      <c r="AH37" s="17"/>
      <c r="AI37" s="7"/>
      <c r="AJ37" s="7" t="s">
        <v>88</v>
      </c>
      <c r="AK37" s="10"/>
      <c r="AL37" s="7"/>
      <c r="AM37" s="7"/>
      <c r="AN37" s="17"/>
      <c r="AO37" s="7"/>
      <c r="AP37" s="7"/>
      <c r="AQ37" s="17"/>
      <c r="AR37" s="7"/>
      <c r="AS37" s="7" t="s">
        <v>88</v>
      </c>
      <c r="AT37" s="10"/>
      <c r="AU37" s="7"/>
      <c r="AV37" s="7"/>
      <c r="AW37" s="17"/>
      <c r="AX37" s="7"/>
      <c r="AY37" s="7"/>
      <c r="AZ37" s="17"/>
      <c r="BA37" s="7"/>
      <c r="BB37" s="7"/>
      <c r="BC37" s="10"/>
      <c r="BD37" s="7"/>
      <c r="BE37" s="7"/>
      <c r="BF37" s="17"/>
      <c r="BG37" s="7"/>
      <c r="BH37" s="7"/>
      <c r="BI37" s="17"/>
      <c r="BJ37" s="7"/>
      <c r="BK37" s="7"/>
      <c r="BL37" s="10"/>
      <c r="BM37" s="7"/>
      <c r="BN37" s="7"/>
      <c r="BO37" s="17"/>
      <c r="BP37" s="7"/>
      <c r="BQ37" s="7"/>
      <c r="BR37" s="17"/>
      <c r="BS37" s="7"/>
      <c r="BT37" s="7"/>
    </row>
    <row r="38" spans="1:72" ht="15.75" customHeight="1" x14ac:dyDescent="0.25">
      <c r="A38" s="18"/>
    </row>
    <row r="39" spans="1:72" ht="15.75" customHeight="1" x14ac:dyDescent="0.25">
      <c r="A39" s="18"/>
    </row>
    <row r="40" spans="1:72" ht="15.75" customHeight="1" x14ac:dyDescent="0.25"/>
    <row r="41" spans="1:72" ht="15.75" customHeight="1" x14ac:dyDescent="0.25"/>
    <row r="42" spans="1:72" ht="15.75" customHeight="1" x14ac:dyDescent="0.25"/>
    <row r="43" spans="1:72" ht="15.75" customHeight="1" x14ac:dyDescent="0.25"/>
    <row r="44" spans="1:72" ht="15.75" customHeight="1" x14ac:dyDescent="0.25"/>
    <row r="45" spans="1:72" ht="15.75" customHeight="1" x14ac:dyDescent="0.25"/>
    <row r="46" spans="1:72" ht="15.75" customHeight="1" x14ac:dyDescent="0.25"/>
    <row r="47" spans="1:72" ht="15.75" customHeight="1" x14ac:dyDescent="0.25"/>
    <row r="48" spans="1:72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</sheetData>
  <mergeCells count="11">
    <mergeCell ref="T5:AA6"/>
    <mergeCell ref="B5:C6"/>
    <mergeCell ref="E5:E6"/>
    <mergeCell ref="G5:I6"/>
    <mergeCell ref="K5:N6"/>
    <mergeCell ref="P5:R6"/>
    <mergeCell ref="BM5:BT6"/>
    <mergeCell ref="AC5:AJ6"/>
    <mergeCell ref="AL5:AS6"/>
    <mergeCell ref="AU5:BB6"/>
    <mergeCell ref="BD5:BK6"/>
  </mergeCells>
  <printOptions horizontalCentered="1" verticalCentered="1"/>
  <pageMargins left="0" right="0" top="0.19685039370078741" bottom="0" header="0" footer="0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313D0-6571-44AD-B50E-228598AE9FB3}">
  <sheetPr>
    <pageSetUpPr fitToPage="1"/>
  </sheetPr>
  <dimension ref="A1:AS76"/>
  <sheetViews>
    <sheetView zoomScaleNormal="10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A7" sqref="A7:XFD7"/>
    </sheetView>
  </sheetViews>
  <sheetFormatPr defaultColWidth="14.42578125" defaultRowHeight="15" customHeight="1" outlineLevelCol="1" x14ac:dyDescent="0.25"/>
  <cols>
    <col min="1" max="1" width="8.7109375" customWidth="1"/>
    <col min="2" max="2" width="9" customWidth="1"/>
    <col min="3" max="3" width="7.42578125" customWidth="1"/>
    <col min="4" max="4" width="1.42578125" customWidth="1"/>
    <col min="5" max="5" width="26" bestFit="1" customWidth="1"/>
    <col min="6" max="6" width="1.42578125" customWidth="1"/>
    <col min="7" max="7" width="6.85546875" hidden="1" customWidth="1" outlineLevel="1"/>
    <col min="8" max="8" width="7.140625" customWidth="1" collapsed="1"/>
    <col min="9" max="9" width="6.85546875" customWidth="1"/>
    <col min="10" max="10" width="1.42578125" customWidth="1"/>
    <col min="11" max="11" width="5.140625" hidden="1" customWidth="1" outlineLevel="1"/>
    <col min="12" max="12" width="4.28515625" hidden="1" customWidth="1" outlineLevel="1"/>
    <col min="13" max="13" width="7.140625" hidden="1" customWidth="1" outlineLevel="1"/>
    <col min="14" max="14" width="6.85546875" hidden="1" customWidth="1" outlineLevel="1"/>
    <col min="15" max="15" width="7.85546875" hidden="1" customWidth="1" outlineLevel="1"/>
    <col min="16" max="16" width="7.140625" hidden="1" customWidth="1" outlineLevel="1"/>
    <col min="17" max="17" width="7.140625" customWidth="1" collapsed="1"/>
    <col min="18" max="18" width="6.85546875" customWidth="1"/>
    <col min="19" max="19" width="1.42578125" customWidth="1"/>
    <col min="20" max="20" width="5.140625" hidden="1" customWidth="1" outlineLevel="1"/>
    <col min="21" max="21" width="4.28515625" hidden="1" customWidth="1" outlineLevel="1"/>
    <col min="22" max="22" width="7.140625" hidden="1" customWidth="1" outlineLevel="1"/>
    <col min="23" max="23" width="6.85546875" hidden="1" customWidth="1" outlineLevel="1"/>
    <col min="24" max="24" width="7.85546875" hidden="1" customWidth="1" outlineLevel="1"/>
    <col min="25" max="25" width="7.140625" hidden="1" customWidth="1" outlineLevel="1"/>
    <col min="26" max="26" width="7.140625" customWidth="1" collapsed="1"/>
    <col min="27" max="27" width="6.85546875" customWidth="1"/>
    <col min="28" max="28" width="1.42578125" customWidth="1"/>
    <col min="29" max="29" width="5.140625" hidden="1" customWidth="1" outlineLevel="1"/>
    <col min="30" max="30" width="4.28515625" hidden="1" customWidth="1" outlineLevel="1"/>
    <col min="31" max="31" width="7.140625" customWidth="1" collapsed="1"/>
    <col min="32" max="32" width="6.85546875" customWidth="1"/>
    <col min="33" max="33" width="7.85546875" hidden="1" customWidth="1" outlineLevel="1"/>
    <col min="34" max="34" width="7.140625" hidden="1" customWidth="1" outlineLevel="1"/>
    <col min="35" max="35" width="7.140625" customWidth="1" collapsed="1"/>
    <col min="36" max="36" width="6.85546875" customWidth="1"/>
    <col min="37" max="37" width="1.42578125" customWidth="1"/>
    <col min="38" max="38" width="5.140625" hidden="1" customWidth="1" outlineLevel="1"/>
    <col min="39" max="39" width="4.28515625" hidden="1" customWidth="1" outlineLevel="1"/>
    <col min="40" max="40" width="7.140625" customWidth="1" collapsed="1"/>
    <col min="41" max="41" width="6.85546875" customWidth="1"/>
    <col min="42" max="42" width="7.85546875" hidden="1" customWidth="1" outlineLevel="1"/>
    <col min="43" max="43" width="7.140625" hidden="1" customWidth="1" outlineLevel="1"/>
    <col min="44" max="44" width="7.140625" customWidth="1" collapsed="1"/>
    <col min="45" max="45" width="6.85546875" customWidth="1"/>
  </cols>
  <sheetData>
    <row r="1" spans="1:45" x14ac:dyDescent="0.25">
      <c r="E1" s="14"/>
      <c r="G1" s="3"/>
      <c r="H1" s="3"/>
      <c r="I1" s="4">
        <v>1</v>
      </c>
      <c r="K1" s="3"/>
      <c r="L1" s="3"/>
      <c r="M1" s="3"/>
      <c r="N1" s="3"/>
      <c r="O1" s="3"/>
      <c r="P1" s="3"/>
      <c r="Q1" s="3"/>
      <c r="R1" s="4">
        <v>1</v>
      </c>
      <c r="T1" s="3"/>
      <c r="U1" s="3"/>
      <c r="V1" s="3"/>
      <c r="W1" s="3"/>
      <c r="X1" s="3"/>
      <c r="Y1" s="3"/>
      <c r="Z1" s="3"/>
      <c r="AA1" s="4">
        <v>1</v>
      </c>
      <c r="AC1" s="3"/>
      <c r="AD1" s="3"/>
      <c r="AE1" s="3"/>
      <c r="AF1" s="3"/>
      <c r="AG1" s="3"/>
      <c r="AH1" s="3"/>
      <c r="AI1" s="3"/>
      <c r="AJ1" s="4">
        <v>1</v>
      </c>
      <c r="AL1" s="3"/>
      <c r="AM1" s="3"/>
      <c r="AN1" s="3"/>
      <c r="AO1" s="3"/>
      <c r="AP1" s="3"/>
      <c r="AQ1" s="3"/>
      <c r="AR1" s="3"/>
      <c r="AS1" s="4">
        <v>1</v>
      </c>
    </row>
    <row r="2" spans="1:45" x14ac:dyDescent="0.25">
      <c r="E2" s="14"/>
      <c r="G2" s="3"/>
      <c r="H2" s="3"/>
      <c r="I2" s="3"/>
      <c r="K2" s="3"/>
      <c r="L2" s="3"/>
      <c r="M2" s="3"/>
      <c r="N2" s="5">
        <f>42+21+30+15+18+9</f>
        <v>135</v>
      </c>
      <c r="O2" s="3"/>
      <c r="P2" s="3"/>
      <c r="Q2" s="3"/>
      <c r="R2" s="3"/>
      <c r="T2" s="3"/>
      <c r="U2" s="3"/>
      <c r="V2" s="3"/>
      <c r="W2" s="5">
        <f>50+50+3+3+50+50+20+20</f>
        <v>246</v>
      </c>
      <c r="X2" s="3"/>
      <c r="Y2" s="3"/>
      <c r="Z2" s="3"/>
      <c r="AA2" s="3"/>
      <c r="AC2" s="3"/>
      <c r="AD2" s="3"/>
      <c r="AE2" s="3"/>
      <c r="AF2" s="5">
        <f>3*(25+50)</f>
        <v>225</v>
      </c>
      <c r="AG2" s="3"/>
      <c r="AH2" s="3"/>
      <c r="AI2" s="3"/>
      <c r="AJ2" s="3"/>
      <c r="AL2" s="3"/>
      <c r="AM2" s="3"/>
      <c r="AN2" s="3"/>
      <c r="AO2" s="5">
        <v>5</v>
      </c>
      <c r="AP2" s="3"/>
      <c r="AQ2" s="3"/>
      <c r="AR2" s="3"/>
      <c r="AS2" s="3"/>
    </row>
    <row r="3" spans="1:45" x14ac:dyDescent="0.25">
      <c r="E3" s="14"/>
      <c r="G3" s="6"/>
      <c r="H3" s="3"/>
      <c r="I3" s="3"/>
      <c r="K3" s="3"/>
      <c r="L3" s="3"/>
      <c r="M3" s="3"/>
      <c r="N3" s="6" t="s">
        <v>29</v>
      </c>
      <c r="O3" s="3"/>
      <c r="P3" s="3"/>
      <c r="Q3" s="3"/>
      <c r="R3" s="3"/>
      <c r="T3" s="3"/>
      <c r="U3" s="3"/>
      <c r="V3" s="3"/>
      <c r="W3" s="6" t="s">
        <v>29</v>
      </c>
      <c r="X3" s="3"/>
      <c r="Y3" s="3"/>
      <c r="Z3" s="3"/>
      <c r="AA3" s="3"/>
      <c r="AC3" s="3"/>
      <c r="AD3" s="3"/>
      <c r="AE3" s="3"/>
      <c r="AF3" s="6" t="s">
        <v>28</v>
      </c>
      <c r="AG3" s="3"/>
      <c r="AH3" s="3"/>
      <c r="AI3" s="3"/>
      <c r="AJ3" s="3"/>
      <c r="AL3" s="3"/>
      <c r="AM3" s="3"/>
      <c r="AN3" s="3"/>
      <c r="AO3" s="6" t="s">
        <v>30</v>
      </c>
      <c r="AP3" s="3"/>
      <c r="AQ3" s="3"/>
      <c r="AR3" s="3"/>
      <c r="AS3" s="3"/>
    </row>
    <row r="4" spans="1:45" x14ac:dyDescent="0.25">
      <c r="G4" s="3"/>
      <c r="H4" s="3"/>
      <c r="I4" s="3"/>
      <c r="K4" s="3"/>
      <c r="L4" s="3"/>
      <c r="M4" s="3"/>
      <c r="N4" s="3"/>
      <c r="O4" s="3"/>
      <c r="P4" s="3"/>
      <c r="Q4" s="3"/>
      <c r="R4" s="3"/>
      <c r="T4" s="3"/>
      <c r="U4" s="3"/>
      <c r="V4" s="3"/>
      <c r="W4" s="3"/>
      <c r="X4" s="3"/>
      <c r="Y4" s="3"/>
      <c r="Z4" s="3"/>
      <c r="AA4" s="3"/>
      <c r="AC4" s="3"/>
      <c r="AD4" s="3"/>
      <c r="AE4" s="3"/>
      <c r="AF4" s="3"/>
      <c r="AG4" s="3"/>
      <c r="AH4" s="3"/>
      <c r="AI4" s="3"/>
      <c r="AJ4" s="3"/>
      <c r="AL4" s="3"/>
      <c r="AM4" s="3"/>
      <c r="AN4" s="3"/>
      <c r="AO4" s="3"/>
      <c r="AP4" s="3"/>
      <c r="AQ4" s="3"/>
      <c r="AR4" s="3"/>
      <c r="AS4" s="3"/>
    </row>
    <row r="5" spans="1:45" ht="15" customHeight="1" x14ac:dyDescent="0.25">
      <c r="B5" s="24" t="s">
        <v>4</v>
      </c>
      <c r="C5" s="25"/>
      <c r="D5" s="7"/>
      <c r="E5" s="24" t="s">
        <v>114</v>
      </c>
      <c r="F5" s="7"/>
      <c r="G5" s="24" t="s">
        <v>26</v>
      </c>
      <c r="H5" s="25"/>
      <c r="I5" s="25"/>
      <c r="J5" s="7"/>
      <c r="K5" s="24" t="s">
        <v>27</v>
      </c>
      <c r="L5" s="25"/>
      <c r="M5" s="25"/>
      <c r="N5" s="25"/>
      <c r="O5" s="25"/>
      <c r="P5" s="25"/>
      <c r="Q5" s="25"/>
      <c r="R5" s="25"/>
      <c r="S5" s="7"/>
      <c r="T5" s="24" t="s">
        <v>5</v>
      </c>
      <c r="U5" s="25"/>
      <c r="V5" s="25"/>
      <c r="W5" s="25"/>
      <c r="X5" s="25"/>
      <c r="Y5" s="25"/>
      <c r="Z5" s="25"/>
      <c r="AA5" s="25"/>
      <c r="AB5" s="7"/>
      <c r="AC5" s="24" t="s">
        <v>6</v>
      </c>
      <c r="AD5" s="25"/>
      <c r="AE5" s="25"/>
      <c r="AF5" s="25"/>
      <c r="AG5" s="25"/>
      <c r="AH5" s="25"/>
      <c r="AI5" s="25"/>
      <c r="AJ5" s="25"/>
      <c r="AK5" s="7"/>
      <c r="AL5" s="24" t="s">
        <v>7</v>
      </c>
      <c r="AM5" s="25"/>
      <c r="AN5" s="25"/>
      <c r="AO5" s="25"/>
      <c r="AP5" s="25"/>
      <c r="AQ5" s="25"/>
      <c r="AR5" s="25"/>
      <c r="AS5" s="25"/>
    </row>
    <row r="6" spans="1:45" x14ac:dyDescent="0.25">
      <c r="B6" s="25"/>
      <c r="C6" s="25"/>
      <c r="D6" s="8"/>
      <c r="E6" s="25"/>
      <c r="F6" s="8"/>
      <c r="G6" s="25"/>
      <c r="H6" s="25"/>
      <c r="I6" s="25"/>
      <c r="J6" s="8"/>
      <c r="K6" s="25"/>
      <c r="L6" s="25"/>
      <c r="M6" s="25"/>
      <c r="N6" s="25"/>
      <c r="O6" s="25"/>
      <c r="P6" s="25"/>
      <c r="Q6" s="25"/>
      <c r="R6" s="25"/>
      <c r="S6" s="8"/>
      <c r="T6" s="25"/>
      <c r="U6" s="25"/>
      <c r="V6" s="25"/>
      <c r="W6" s="25"/>
      <c r="X6" s="25"/>
      <c r="Y6" s="25"/>
      <c r="Z6" s="25"/>
      <c r="AA6" s="25"/>
      <c r="AB6" s="8"/>
      <c r="AC6" s="25"/>
      <c r="AD6" s="25"/>
      <c r="AE6" s="25"/>
      <c r="AF6" s="25"/>
      <c r="AG6" s="25"/>
      <c r="AH6" s="25"/>
      <c r="AI6" s="25"/>
      <c r="AJ6" s="25"/>
      <c r="AK6" s="8"/>
      <c r="AL6" s="25"/>
      <c r="AM6" s="25"/>
      <c r="AN6" s="25"/>
      <c r="AO6" s="25"/>
      <c r="AP6" s="25"/>
      <c r="AQ6" s="25"/>
      <c r="AR6" s="25"/>
      <c r="AS6" s="25"/>
    </row>
    <row r="7" spans="1:45" ht="25.5" x14ac:dyDescent="0.25">
      <c r="A7" s="18"/>
      <c r="B7" s="13" t="s">
        <v>8</v>
      </c>
      <c r="C7" s="13" t="s">
        <v>9</v>
      </c>
      <c r="D7" s="9"/>
      <c r="E7" s="15" t="s">
        <v>25</v>
      </c>
      <c r="F7" s="9"/>
      <c r="G7" s="13" t="s">
        <v>16</v>
      </c>
      <c r="H7" s="12" t="s">
        <v>14</v>
      </c>
      <c r="I7" s="12" t="s">
        <v>15</v>
      </c>
      <c r="J7" s="9"/>
      <c r="K7" s="12" t="s">
        <v>11</v>
      </c>
      <c r="L7" s="12" t="s">
        <v>12</v>
      </c>
      <c r="M7" s="12" t="s">
        <v>13</v>
      </c>
      <c r="N7" s="13" t="s">
        <v>16</v>
      </c>
      <c r="O7" s="12" t="s">
        <v>17</v>
      </c>
      <c r="P7" s="12" t="s">
        <v>13</v>
      </c>
      <c r="Q7" s="12" t="s">
        <v>14</v>
      </c>
      <c r="R7" s="12" t="s">
        <v>15</v>
      </c>
      <c r="S7" s="9"/>
      <c r="T7" s="12" t="s">
        <v>11</v>
      </c>
      <c r="U7" s="12" t="s">
        <v>12</v>
      </c>
      <c r="V7" s="12" t="s">
        <v>13</v>
      </c>
      <c r="W7" s="13" t="s">
        <v>16</v>
      </c>
      <c r="X7" s="12" t="s">
        <v>17</v>
      </c>
      <c r="Y7" s="12" t="s">
        <v>13</v>
      </c>
      <c r="Z7" s="12" t="s">
        <v>14</v>
      </c>
      <c r="AA7" s="12" t="s">
        <v>15</v>
      </c>
      <c r="AB7" s="9"/>
      <c r="AC7" s="12" t="s">
        <v>11</v>
      </c>
      <c r="AD7" s="12" t="s">
        <v>12</v>
      </c>
      <c r="AE7" s="12" t="s">
        <v>13</v>
      </c>
      <c r="AF7" s="13" t="s">
        <v>16</v>
      </c>
      <c r="AG7" s="12" t="s">
        <v>17</v>
      </c>
      <c r="AH7" s="12" t="s">
        <v>13</v>
      </c>
      <c r="AI7" s="12" t="s">
        <v>14</v>
      </c>
      <c r="AJ7" s="12" t="s">
        <v>15</v>
      </c>
      <c r="AK7" s="9"/>
      <c r="AL7" s="12" t="s">
        <v>11</v>
      </c>
      <c r="AM7" s="12" t="s">
        <v>12</v>
      </c>
      <c r="AN7" s="12" t="s">
        <v>13</v>
      </c>
      <c r="AO7" s="13" t="s">
        <v>16</v>
      </c>
      <c r="AP7" s="12" t="s">
        <v>17</v>
      </c>
      <c r="AQ7" s="12" t="s">
        <v>13</v>
      </c>
      <c r="AR7" s="12" t="s">
        <v>14</v>
      </c>
      <c r="AS7" s="12" t="s">
        <v>15</v>
      </c>
    </row>
    <row r="8" spans="1:45" x14ac:dyDescent="0.25">
      <c r="A8" s="18"/>
      <c r="B8" s="7">
        <f>RANK(C8,C$8:C$16,0)</f>
        <v>1</v>
      </c>
      <c r="C8" s="7">
        <f>SUMIF($G$1:$AS$1,1,$G8:$AS8)</f>
        <v>495</v>
      </c>
      <c r="D8" s="10"/>
      <c r="E8" s="16" t="s">
        <v>33</v>
      </c>
      <c r="F8" s="10"/>
      <c r="G8" s="7">
        <f>40+32</f>
        <v>72</v>
      </c>
      <c r="H8" s="7">
        <f>RANK(G8,G$8:G$16,0)</f>
        <v>1</v>
      </c>
      <c r="I8" s="7">
        <f>VLOOKUP(H8,'Место-баллы'!$A$3:$E$52,2,0)</f>
        <v>100</v>
      </c>
      <c r="J8" s="10"/>
      <c r="K8" s="7">
        <v>7</v>
      </c>
      <c r="L8" s="7">
        <v>15</v>
      </c>
      <c r="M8" s="17">
        <f>TIME(0,K8,L8)</f>
        <v>5.0347222222222225E-3</v>
      </c>
      <c r="N8" s="7">
        <v>135</v>
      </c>
      <c r="O8" s="7">
        <f>N$2-N8</f>
        <v>0</v>
      </c>
      <c r="P8" s="17">
        <f>M8+TIME(0,0,O8)</f>
        <v>5.0347222222222225E-3</v>
      </c>
      <c r="Q8" s="7">
        <f>RANK(P8,P$8:P$16,1)</f>
        <v>1</v>
      </c>
      <c r="R8" s="7">
        <f>VLOOKUP(Q8,'Место-баллы'!$A$3:$E$52,2,0)</f>
        <v>100</v>
      </c>
      <c r="S8" s="10"/>
      <c r="T8" s="7">
        <v>4</v>
      </c>
      <c r="U8" s="7">
        <v>8</v>
      </c>
      <c r="V8" s="17">
        <f>TIME(0,T8,U8)</f>
        <v>2.8703703703703708E-3</v>
      </c>
      <c r="W8" s="7">
        <v>246</v>
      </c>
      <c r="X8" s="7">
        <f>W$2-W8</f>
        <v>0</v>
      </c>
      <c r="Y8" s="17">
        <f>V8+TIME(0,0,X8)</f>
        <v>2.8703703703703708E-3</v>
      </c>
      <c r="Z8" s="7">
        <f>RANK(Y8,Y$8:Y$16,1)</f>
        <v>1</v>
      </c>
      <c r="AA8" s="7">
        <f>VLOOKUP(Z8,'Место-баллы'!$A$3:$E$52,2,0)</f>
        <v>100</v>
      </c>
      <c r="AB8" s="10"/>
      <c r="AC8" s="7">
        <v>8</v>
      </c>
      <c r="AD8" s="7">
        <v>53</v>
      </c>
      <c r="AE8" s="17">
        <f>TIME(0,AC8,AD8)</f>
        <v>6.168981481481481E-3</v>
      </c>
      <c r="AF8" s="7">
        <v>225</v>
      </c>
      <c r="AG8" s="7">
        <f>AF$2-AF8</f>
        <v>0</v>
      </c>
      <c r="AH8" s="17">
        <f>AE8+TIME(0,0,AG8)</f>
        <v>6.168981481481481E-3</v>
      </c>
      <c r="AI8" s="7">
        <f>RANK(AH8,AH$8:AH$16,1)</f>
        <v>1</v>
      </c>
      <c r="AJ8" s="7">
        <f>VLOOKUP(AI8,'Место-баллы'!$A$3:$E$52,2,0)</f>
        <v>100</v>
      </c>
      <c r="AK8" s="10"/>
      <c r="AL8" s="7">
        <v>4</v>
      </c>
      <c r="AM8" s="7">
        <v>36</v>
      </c>
      <c r="AN8" s="17">
        <f>TIME(0,AL8,AM8)</f>
        <v>3.1944444444444442E-3</v>
      </c>
      <c r="AO8" s="7">
        <v>5</v>
      </c>
      <c r="AP8" s="7">
        <f>AO$2-AO8</f>
        <v>0</v>
      </c>
      <c r="AQ8" s="17">
        <f>AN8+TIME(0,0,AP8)</f>
        <v>3.1944444444444442E-3</v>
      </c>
      <c r="AR8" s="7">
        <f>RANK(AQ8,AQ$8:AQ$16,1)</f>
        <v>2</v>
      </c>
      <c r="AS8" s="7">
        <f>VLOOKUP(AR8,'Место-баллы'!$A$3:$E$52,2,0)</f>
        <v>95</v>
      </c>
    </row>
    <row r="9" spans="1:45" x14ac:dyDescent="0.25">
      <c r="A9" s="18"/>
      <c r="B9" s="7">
        <f>RANK(C9,C$8:C$16,0)</f>
        <v>2</v>
      </c>
      <c r="C9" s="7">
        <f>SUMIF($G$1:$AS$1,1,$G9:$AS9)</f>
        <v>470</v>
      </c>
      <c r="D9" s="10"/>
      <c r="E9" s="16" t="s">
        <v>32</v>
      </c>
      <c r="F9" s="10"/>
      <c r="G9" s="7">
        <f>38+34</f>
        <v>72</v>
      </c>
      <c r="H9" s="7">
        <f>RANK(G9,G$8:G$16,0)</f>
        <v>1</v>
      </c>
      <c r="I9" s="7">
        <f>VLOOKUP(H9,'Место-баллы'!$A$3:$E$52,2,0)</f>
        <v>100</v>
      </c>
      <c r="J9" s="10"/>
      <c r="K9" s="7">
        <v>7</v>
      </c>
      <c r="L9" s="7">
        <v>16</v>
      </c>
      <c r="M9" s="17">
        <f>TIME(0,K9,L9)</f>
        <v>5.0462962962962961E-3</v>
      </c>
      <c r="N9" s="7">
        <v>135</v>
      </c>
      <c r="O9" s="7">
        <f>N$2-N9</f>
        <v>0</v>
      </c>
      <c r="P9" s="17">
        <f>M9+TIME(0,0,O9)</f>
        <v>5.0462962962962961E-3</v>
      </c>
      <c r="Q9" s="7">
        <f>RANK(P9,P$8:P$16,1)</f>
        <v>2</v>
      </c>
      <c r="R9" s="7">
        <f>VLOOKUP(Q9,'Место-баллы'!$A$3:$E$52,2,0)</f>
        <v>95</v>
      </c>
      <c r="S9" s="10"/>
      <c r="T9" s="7">
        <v>4</v>
      </c>
      <c r="U9" s="7">
        <v>23</v>
      </c>
      <c r="V9" s="17">
        <f>TIME(0,T9,U9)</f>
        <v>3.0439814814814821E-3</v>
      </c>
      <c r="W9" s="7">
        <v>246</v>
      </c>
      <c r="X9" s="7">
        <f>W$2-W9</f>
        <v>0</v>
      </c>
      <c r="Y9" s="17">
        <f>V9+TIME(0,0,X9)</f>
        <v>3.0439814814814821E-3</v>
      </c>
      <c r="Z9" s="7">
        <f>RANK(Y9,Y$8:Y$16,1)</f>
        <v>2</v>
      </c>
      <c r="AA9" s="7">
        <f>VLOOKUP(Z9,'Место-баллы'!$A$3:$E$52,2,0)</f>
        <v>95</v>
      </c>
      <c r="AB9" s="10"/>
      <c r="AC9" s="7">
        <v>10</v>
      </c>
      <c r="AD9" s="7">
        <v>3</v>
      </c>
      <c r="AE9" s="17">
        <f>TIME(0,AC9,AD9)</f>
        <v>6.9791666666666674E-3</v>
      </c>
      <c r="AF9" s="7">
        <v>225</v>
      </c>
      <c r="AG9" s="7">
        <f>AF$2-AF9</f>
        <v>0</v>
      </c>
      <c r="AH9" s="17">
        <f>AE9+TIME(0,0,AG9)</f>
        <v>6.9791666666666674E-3</v>
      </c>
      <c r="AI9" s="7">
        <f>RANK(AH9,AH$8:AH$16,1)</f>
        <v>3</v>
      </c>
      <c r="AJ9" s="7">
        <f>VLOOKUP(AI9,'Место-баллы'!$A$3:$E$52,2,0)</f>
        <v>90</v>
      </c>
      <c r="AK9" s="10"/>
      <c r="AL9" s="7">
        <v>4</v>
      </c>
      <c r="AM9" s="7">
        <v>38</v>
      </c>
      <c r="AN9" s="17">
        <f>TIME(0,AL9,AM9)</f>
        <v>3.2175925925925926E-3</v>
      </c>
      <c r="AO9" s="7">
        <v>5</v>
      </c>
      <c r="AP9" s="7">
        <f>AO$2-AO9</f>
        <v>0</v>
      </c>
      <c r="AQ9" s="17">
        <f>AN9+TIME(0,0,AP9)</f>
        <v>3.2175925925925926E-3</v>
      </c>
      <c r="AR9" s="7">
        <f>RANK(AQ9,AQ$8:AQ$16,1)</f>
        <v>3</v>
      </c>
      <c r="AS9" s="7">
        <f>VLOOKUP(AR9,'Место-баллы'!$A$3:$E$52,2,0)</f>
        <v>90</v>
      </c>
    </row>
    <row r="10" spans="1:45" x14ac:dyDescent="0.25">
      <c r="A10" s="18"/>
      <c r="B10" s="7">
        <f>RANK(C10,C$8:C$16,0)</f>
        <v>3</v>
      </c>
      <c r="C10" s="7">
        <f>SUMIF($G$1:$AS$1,1,$G10:$AS10)</f>
        <v>425</v>
      </c>
      <c r="D10" s="10"/>
      <c r="E10" s="16" t="s">
        <v>35</v>
      </c>
      <c r="F10" s="10"/>
      <c r="G10" s="7">
        <f>30+25</f>
        <v>55</v>
      </c>
      <c r="H10" s="7">
        <f>RANK(G10,G$8:G$16,0)</f>
        <v>4</v>
      </c>
      <c r="I10" s="7">
        <f>VLOOKUP(H10,'Место-баллы'!$A$3:$E$52,2,0)</f>
        <v>85</v>
      </c>
      <c r="J10" s="10"/>
      <c r="K10" s="7">
        <v>8</v>
      </c>
      <c r="L10" s="7">
        <v>5</v>
      </c>
      <c r="M10" s="17">
        <f>TIME(0,K10,L10)</f>
        <v>5.6134259259259271E-3</v>
      </c>
      <c r="N10" s="7">
        <f>93+13</f>
        <v>106</v>
      </c>
      <c r="O10" s="7">
        <f>N$2-N10</f>
        <v>29</v>
      </c>
      <c r="P10" s="17">
        <f>M10+TIME(0,0,O10)</f>
        <v>5.9490740740740754E-3</v>
      </c>
      <c r="Q10" s="7">
        <f>RANK(P10,P$8:P$16,1)</f>
        <v>4</v>
      </c>
      <c r="R10" s="7">
        <f>VLOOKUP(Q10,'Место-баллы'!$A$3:$E$52,2,0)</f>
        <v>85</v>
      </c>
      <c r="S10" s="10"/>
      <c r="T10" s="7">
        <v>5</v>
      </c>
      <c r="U10" s="7">
        <v>15</v>
      </c>
      <c r="V10" s="17">
        <f>TIME(0,T10,U10)</f>
        <v>3.645833333333333E-3</v>
      </c>
      <c r="W10" s="7">
        <v>246</v>
      </c>
      <c r="X10" s="7">
        <f>W$2-W10</f>
        <v>0</v>
      </c>
      <c r="Y10" s="17">
        <f>V10+TIME(0,0,X10)</f>
        <v>3.645833333333333E-3</v>
      </c>
      <c r="Z10" s="7">
        <f>RANK(Y10,Y$8:Y$16,1)</f>
        <v>5</v>
      </c>
      <c r="AA10" s="7">
        <f>VLOOKUP(Z10,'Место-баллы'!$A$3:$E$52,2,0)</f>
        <v>80</v>
      </c>
      <c r="AB10" s="10"/>
      <c r="AC10" s="7">
        <v>12</v>
      </c>
      <c r="AD10" s="7">
        <v>5</v>
      </c>
      <c r="AE10" s="17">
        <f>TIME(0,AC10,AD10)</f>
        <v>8.3912037037037045E-3</v>
      </c>
      <c r="AF10" s="7">
        <v>203</v>
      </c>
      <c r="AG10" s="7">
        <f>AF$2-AF10</f>
        <v>22</v>
      </c>
      <c r="AH10" s="17">
        <f>AE10+TIME(0,0,AG10)</f>
        <v>8.6458333333333335E-3</v>
      </c>
      <c r="AI10" s="7">
        <f>RANK(AH10,AH$8:AH$16,1)</f>
        <v>6</v>
      </c>
      <c r="AJ10" s="7">
        <f>VLOOKUP(AI10,'Место-баллы'!$A$3:$E$52,2,0)</f>
        <v>75</v>
      </c>
      <c r="AK10" s="10"/>
      <c r="AL10" s="7">
        <v>4</v>
      </c>
      <c r="AM10" s="7">
        <v>31</v>
      </c>
      <c r="AN10" s="17">
        <f>TIME(0,AL10,AM10)</f>
        <v>3.1365740740740742E-3</v>
      </c>
      <c r="AO10" s="7">
        <v>5</v>
      </c>
      <c r="AP10" s="7">
        <f>AO$2-AO10</f>
        <v>0</v>
      </c>
      <c r="AQ10" s="17">
        <f>AN10+TIME(0,0,AP10)</f>
        <v>3.1365740740740742E-3</v>
      </c>
      <c r="AR10" s="7">
        <f>RANK(AQ10,AQ$8:AQ$16,1)</f>
        <v>1</v>
      </c>
      <c r="AS10" s="7">
        <f>VLOOKUP(AR10,'Место-баллы'!$A$3:$E$52,2,0)</f>
        <v>100</v>
      </c>
    </row>
    <row r="11" spans="1:45" x14ac:dyDescent="0.25">
      <c r="A11" s="18"/>
      <c r="B11" s="7">
        <f>RANK(C11,C$8:C$16,0)</f>
        <v>4</v>
      </c>
      <c r="C11" s="7">
        <f>SUMIF($G$1:$AS$1,1,$G11:$AS11)</f>
        <v>423</v>
      </c>
      <c r="D11" s="10"/>
      <c r="E11" s="16" t="s">
        <v>31</v>
      </c>
      <c r="F11" s="10"/>
      <c r="G11" s="7">
        <f>29+17</f>
        <v>46</v>
      </c>
      <c r="H11" s="7">
        <f>RANK(G11,G$8:G$16,0)</f>
        <v>7</v>
      </c>
      <c r="I11" s="7">
        <f>VLOOKUP(H11,'Место-баллы'!$A$3:$E$52,2,0)</f>
        <v>73</v>
      </c>
      <c r="J11" s="10"/>
      <c r="K11" s="7">
        <v>8</v>
      </c>
      <c r="L11" s="7">
        <v>5</v>
      </c>
      <c r="M11" s="17">
        <f>TIME(0,K11,L11)</f>
        <v>5.6134259259259271E-3</v>
      </c>
      <c r="N11" s="7">
        <v>117</v>
      </c>
      <c r="O11" s="7">
        <f>N$2-N11</f>
        <v>18</v>
      </c>
      <c r="P11" s="17">
        <f>M11+TIME(0,0,O11)</f>
        <v>5.82175925925926E-3</v>
      </c>
      <c r="Q11" s="7">
        <f>RANK(P11,P$8:P$16,1)</f>
        <v>3</v>
      </c>
      <c r="R11" s="7">
        <f>VLOOKUP(Q11,'Место-баллы'!$A$3:$E$52,2,0)</f>
        <v>90</v>
      </c>
      <c r="S11" s="10"/>
      <c r="T11" s="7">
        <v>4</v>
      </c>
      <c r="U11" s="7">
        <v>51</v>
      </c>
      <c r="V11" s="17">
        <f>TIME(0,T11,U11)</f>
        <v>3.3680555555555551E-3</v>
      </c>
      <c r="W11" s="7">
        <v>246</v>
      </c>
      <c r="X11" s="7">
        <f>W$2-W11</f>
        <v>0</v>
      </c>
      <c r="Y11" s="17">
        <f>V11+TIME(0,0,X11)</f>
        <v>3.3680555555555551E-3</v>
      </c>
      <c r="Z11" s="7">
        <f>RANK(Y11,Y$8:Y$16,1)</f>
        <v>3</v>
      </c>
      <c r="AA11" s="7">
        <f>VLOOKUP(Z11,'Место-баллы'!$A$3:$E$52,2,0)</f>
        <v>90</v>
      </c>
      <c r="AB11" s="10"/>
      <c r="AC11" s="7">
        <v>9</v>
      </c>
      <c r="AD11" s="7">
        <v>48</v>
      </c>
      <c r="AE11" s="17">
        <f>TIME(0,AC11,AD11)</f>
        <v>6.8055555555555569E-3</v>
      </c>
      <c r="AF11" s="7">
        <v>225</v>
      </c>
      <c r="AG11" s="7">
        <f>AF$2-AF11</f>
        <v>0</v>
      </c>
      <c r="AH11" s="17">
        <f>AE11+TIME(0,0,AG11)</f>
        <v>6.8055555555555569E-3</v>
      </c>
      <c r="AI11" s="7">
        <f>RANK(AH11,AH$8:AH$16,1)</f>
        <v>2</v>
      </c>
      <c r="AJ11" s="7">
        <f>VLOOKUP(AI11,'Место-баллы'!$A$3:$E$52,2,0)</f>
        <v>95</v>
      </c>
      <c r="AK11" s="10"/>
      <c r="AL11" s="7">
        <v>5</v>
      </c>
      <c r="AM11" s="7">
        <v>25</v>
      </c>
      <c r="AN11" s="17">
        <f>TIME(0,AL11,AM11)</f>
        <v>3.7615740740740739E-3</v>
      </c>
      <c r="AO11" s="7">
        <v>5</v>
      </c>
      <c r="AP11" s="7">
        <f>AO$2-AO11</f>
        <v>0</v>
      </c>
      <c r="AQ11" s="17">
        <f>AN11+TIME(0,0,AP11)</f>
        <v>3.7615740740740739E-3</v>
      </c>
      <c r="AR11" s="7">
        <f>RANK(AQ11,AQ$8:AQ$16,1)</f>
        <v>6</v>
      </c>
      <c r="AS11" s="7">
        <f>VLOOKUP(AR11,'Место-баллы'!$A$3:$E$52,2,0)</f>
        <v>75</v>
      </c>
    </row>
    <row r="12" spans="1:45" x14ac:dyDescent="0.25">
      <c r="A12" s="18"/>
      <c r="B12" s="7">
        <f>RANK(C12,C$8:C$16,0)</f>
        <v>5</v>
      </c>
      <c r="C12" s="7">
        <f>SUMIF($G$1:$AS$1,1,$G12:$AS12)</f>
        <v>415</v>
      </c>
      <c r="D12" s="10"/>
      <c r="E12" s="16" t="s">
        <v>38</v>
      </c>
      <c r="F12" s="10"/>
      <c r="G12" s="7">
        <f>40+19</f>
        <v>59</v>
      </c>
      <c r="H12" s="7">
        <f>RANK(G12,G$8:G$16,0)</f>
        <v>3</v>
      </c>
      <c r="I12" s="7">
        <f>VLOOKUP(H12,'Место-баллы'!$A$3:$E$52,2,0)</f>
        <v>90</v>
      </c>
      <c r="J12" s="10"/>
      <c r="K12" s="7">
        <v>8</v>
      </c>
      <c r="L12" s="7">
        <v>5</v>
      </c>
      <c r="M12" s="17">
        <f>TIME(0,K12,L12)</f>
        <v>5.6134259259259271E-3</v>
      </c>
      <c r="N12" s="7">
        <f>78+6</f>
        <v>84</v>
      </c>
      <c r="O12" s="7">
        <f>N$2-N12</f>
        <v>51</v>
      </c>
      <c r="P12" s="17">
        <f>M12+TIME(0,0,O12)</f>
        <v>6.2037037037037052E-3</v>
      </c>
      <c r="Q12" s="7">
        <f>RANK(P12,P$8:P$16,1)</f>
        <v>6</v>
      </c>
      <c r="R12" s="7">
        <f>VLOOKUP(Q12,'Место-баллы'!$A$3:$E$52,2,0)</f>
        <v>75</v>
      </c>
      <c r="S12" s="10"/>
      <c r="T12" s="7">
        <v>4</v>
      </c>
      <c r="U12" s="7">
        <v>55</v>
      </c>
      <c r="V12" s="17">
        <f>TIME(0,T12,U12)</f>
        <v>3.414351851851852E-3</v>
      </c>
      <c r="W12" s="7">
        <v>246</v>
      </c>
      <c r="X12" s="7">
        <f>W$2-W12</f>
        <v>0</v>
      </c>
      <c r="Y12" s="17">
        <f>V12+TIME(0,0,X12)</f>
        <v>3.414351851851852E-3</v>
      </c>
      <c r="Z12" s="7">
        <f>RANK(Y12,Y$8:Y$16,1)</f>
        <v>4</v>
      </c>
      <c r="AA12" s="7">
        <f>VLOOKUP(Z12,'Место-баллы'!$A$3:$E$52,2,0)</f>
        <v>85</v>
      </c>
      <c r="AB12" s="10"/>
      <c r="AC12" s="7">
        <v>10</v>
      </c>
      <c r="AD12" s="7">
        <v>57</v>
      </c>
      <c r="AE12" s="17">
        <f>TIME(0,AC12,AD12)</f>
        <v>7.6041666666666662E-3</v>
      </c>
      <c r="AF12" s="7">
        <v>225</v>
      </c>
      <c r="AG12" s="7">
        <f>AF$2-AF12</f>
        <v>0</v>
      </c>
      <c r="AH12" s="17">
        <f>AE12+TIME(0,0,AG12)</f>
        <v>7.6041666666666662E-3</v>
      </c>
      <c r="AI12" s="7">
        <f>RANK(AH12,AH$8:AH$16,1)</f>
        <v>4</v>
      </c>
      <c r="AJ12" s="7">
        <f>VLOOKUP(AI12,'Место-баллы'!$A$3:$E$52,2,0)</f>
        <v>85</v>
      </c>
      <c r="AK12" s="10"/>
      <c r="AL12" s="7">
        <v>5</v>
      </c>
      <c r="AM12" s="7">
        <v>18</v>
      </c>
      <c r="AN12" s="17">
        <f>TIME(0,AL12,AM12)</f>
        <v>3.6805555555555554E-3</v>
      </c>
      <c r="AO12" s="7">
        <v>5</v>
      </c>
      <c r="AP12" s="7">
        <f>AO$2-AO12</f>
        <v>0</v>
      </c>
      <c r="AQ12" s="17">
        <f>AN12+TIME(0,0,AP12)</f>
        <v>3.6805555555555554E-3</v>
      </c>
      <c r="AR12" s="7">
        <f>RANK(AQ12,AQ$8:AQ$16,1)</f>
        <v>5</v>
      </c>
      <c r="AS12" s="7">
        <f>VLOOKUP(AR12,'Место-баллы'!$A$3:$E$52,2,0)</f>
        <v>80</v>
      </c>
    </row>
    <row r="13" spans="1:45" x14ac:dyDescent="0.25">
      <c r="A13" s="18"/>
      <c r="B13" s="7">
        <f>RANK(C13,C$8:C$16,0)</f>
        <v>6</v>
      </c>
      <c r="C13" s="7">
        <f>SUMIF($G$1:$AS$1,1,$G13:$AS13)</f>
        <v>386</v>
      </c>
      <c r="D13" s="10"/>
      <c r="E13" s="19" t="s">
        <v>89</v>
      </c>
      <c r="F13" s="10"/>
      <c r="G13" s="7">
        <f>32+20</f>
        <v>52</v>
      </c>
      <c r="H13" s="7">
        <f>RANK(G13,G$8:G$16,0)</f>
        <v>6</v>
      </c>
      <c r="I13" s="7">
        <f>VLOOKUP(H13,'Место-баллы'!$A$3:$E$52,2,0)</f>
        <v>75</v>
      </c>
      <c r="J13" s="10"/>
      <c r="K13" s="7">
        <v>8</v>
      </c>
      <c r="L13" s="7">
        <v>5</v>
      </c>
      <c r="M13" s="17">
        <f>TIME(0,K13,L13)</f>
        <v>5.6134259259259271E-3</v>
      </c>
      <c r="N13" s="7">
        <f>78+14</f>
        <v>92</v>
      </c>
      <c r="O13" s="7">
        <f>N$2-N13</f>
        <v>43</v>
      </c>
      <c r="P13" s="17">
        <f>M13+TIME(0,0,O13)</f>
        <v>6.1111111111111123E-3</v>
      </c>
      <c r="Q13" s="7">
        <f>RANK(P13,P$8:P$16,1)</f>
        <v>5</v>
      </c>
      <c r="R13" s="7">
        <f>VLOOKUP(Q13,'Место-баллы'!$A$3:$E$52,2,0)</f>
        <v>80</v>
      </c>
      <c r="S13" s="10"/>
      <c r="T13" s="7">
        <v>5</v>
      </c>
      <c r="U13" s="7">
        <v>55</v>
      </c>
      <c r="V13" s="17">
        <f>TIME(0,T13,U13)</f>
        <v>4.108796296296297E-3</v>
      </c>
      <c r="W13" s="7">
        <v>246</v>
      </c>
      <c r="X13" s="7">
        <f>W$2-W13</f>
        <v>0</v>
      </c>
      <c r="Y13" s="17">
        <f>V13+TIME(0,0,X13)</f>
        <v>4.108796296296297E-3</v>
      </c>
      <c r="Z13" s="7">
        <f>RANK(Y13,Y$8:Y$16,1)</f>
        <v>6</v>
      </c>
      <c r="AA13" s="7">
        <f>VLOOKUP(Z13,'Место-баллы'!$A$3:$E$52,2,0)</f>
        <v>75</v>
      </c>
      <c r="AB13" s="10"/>
      <c r="AC13" s="7">
        <v>12</v>
      </c>
      <c r="AD13" s="7">
        <v>5</v>
      </c>
      <c r="AE13" s="17">
        <f>TIME(0,AC13,AD13)</f>
        <v>8.3912037037037045E-3</v>
      </c>
      <c r="AF13" s="7">
        <v>169</v>
      </c>
      <c r="AG13" s="7">
        <f>AF$2-AF13</f>
        <v>56</v>
      </c>
      <c r="AH13" s="17">
        <f>AE13+TIME(0,0,AG13)</f>
        <v>9.0393518518518522E-3</v>
      </c>
      <c r="AI13" s="7">
        <f>RANK(AH13,AH$8:AH$16,1)</f>
        <v>8</v>
      </c>
      <c r="AJ13" s="7">
        <f>VLOOKUP(AI13,'Место-баллы'!$A$3:$E$52,2,0)</f>
        <v>71</v>
      </c>
      <c r="AK13" s="10"/>
      <c r="AL13" s="7">
        <v>4</v>
      </c>
      <c r="AM13" s="7">
        <v>44</v>
      </c>
      <c r="AN13" s="17">
        <f>TIME(0,AL13,AM13)</f>
        <v>3.2870370370370367E-3</v>
      </c>
      <c r="AO13" s="7">
        <v>5</v>
      </c>
      <c r="AP13" s="7">
        <f>AO$2-AO13</f>
        <v>0</v>
      </c>
      <c r="AQ13" s="17">
        <f>AN13+TIME(0,0,AP13)</f>
        <v>3.2870370370370367E-3</v>
      </c>
      <c r="AR13" s="7">
        <f>RANK(AQ13,AQ$8:AQ$16,1)</f>
        <v>4</v>
      </c>
      <c r="AS13" s="7">
        <f>VLOOKUP(AR13,'Место-баллы'!$A$3:$E$52,2,0)</f>
        <v>85</v>
      </c>
    </row>
    <row r="14" spans="1:45" x14ac:dyDescent="0.25">
      <c r="A14" s="18"/>
      <c r="B14" s="7">
        <f>RANK(C14,C$8:C$16,0)</f>
        <v>7</v>
      </c>
      <c r="C14" s="7">
        <f>SUMIF($G$1:$AS$1,1,$G14:$AS14)</f>
        <v>368</v>
      </c>
      <c r="D14" s="10"/>
      <c r="E14" s="16" t="s">
        <v>36</v>
      </c>
      <c r="F14" s="10"/>
      <c r="G14" s="7">
        <f>24+16</f>
        <v>40</v>
      </c>
      <c r="H14" s="7">
        <f>RANK(G14,G$8:G$16,0)</f>
        <v>8</v>
      </c>
      <c r="I14" s="7">
        <f>VLOOKUP(H14,'Место-баллы'!$A$3:$E$52,2,0)</f>
        <v>71</v>
      </c>
      <c r="J14" s="10"/>
      <c r="K14" s="7">
        <v>8</v>
      </c>
      <c r="L14" s="7">
        <v>5</v>
      </c>
      <c r="M14" s="17">
        <f>TIME(0,K14,L14)</f>
        <v>5.6134259259259271E-3</v>
      </c>
      <c r="N14" s="7">
        <f>63+11</f>
        <v>74</v>
      </c>
      <c r="O14" s="7">
        <f>N$2-N14</f>
        <v>61</v>
      </c>
      <c r="P14" s="17">
        <f>M14+TIME(0,0,O14)</f>
        <v>6.3194444444444452E-3</v>
      </c>
      <c r="Q14" s="7">
        <f>RANK(P14,P$8:P$16,1)</f>
        <v>7</v>
      </c>
      <c r="R14" s="7">
        <f>VLOOKUP(Q14,'Место-баллы'!$A$3:$E$52,2,0)</f>
        <v>73</v>
      </c>
      <c r="S14" s="10"/>
      <c r="T14" s="7">
        <v>8</v>
      </c>
      <c r="U14" s="7">
        <v>5</v>
      </c>
      <c r="V14" s="17">
        <f>TIME(0,T14,U14)</f>
        <v>5.6134259259259271E-3</v>
      </c>
      <c r="W14" s="7">
        <f>206+19</f>
        <v>225</v>
      </c>
      <c r="X14" s="7">
        <f>W$2-W14</f>
        <v>21</v>
      </c>
      <c r="Y14" s="17">
        <f>V14+TIME(0,0,X14)</f>
        <v>5.8564814814814825E-3</v>
      </c>
      <c r="Z14" s="7">
        <f>RANK(Y14,Y$8:Y$16,1)</f>
        <v>7</v>
      </c>
      <c r="AA14" s="7">
        <f>VLOOKUP(Z14,'Место-баллы'!$A$3:$E$52,2,0)</f>
        <v>73</v>
      </c>
      <c r="AB14" s="10"/>
      <c r="AC14" s="7">
        <v>11</v>
      </c>
      <c r="AD14" s="7">
        <v>56</v>
      </c>
      <c r="AE14" s="17">
        <f>TIME(0,AC14,AD14)</f>
        <v>8.2870370370370372E-3</v>
      </c>
      <c r="AF14" s="7">
        <v>225</v>
      </c>
      <c r="AG14" s="7">
        <f>AF$2-AF14</f>
        <v>0</v>
      </c>
      <c r="AH14" s="17">
        <f>AE14+TIME(0,0,AG14)</f>
        <v>8.2870370370370372E-3</v>
      </c>
      <c r="AI14" s="7">
        <f>RANK(AH14,AH$8:AH$16,1)</f>
        <v>5</v>
      </c>
      <c r="AJ14" s="7">
        <f>VLOOKUP(AI14,'Место-баллы'!$A$3:$E$52,2,0)</f>
        <v>80</v>
      </c>
      <c r="AK14" s="10"/>
      <c r="AL14" s="7">
        <v>6</v>
      </c>
      <c r="AM14" s="7">
        <v>5</v>
      </c>
      <c r="AN14" s="17">
        <f>TIME(0,AL14,AM14)</f>
        <v>4.2245370370370371E-3</v>
      </c>
      <c r="AO14" s="7">
        <v>4</v>
      </c>
      <c r="AP14" s="7">
        <f>AO$2-AO14</f>
        <v>1</v>
      </c>
      <c r="AQ14" s="17">
        <f>AN14+TIME(0,0,AP14)</f>
        <v>4.2361111111111115E-3</v>
      </c>
      <c r="AR14" s="7">
        <f>RANK(AQ14,AQ$8:AQ$16,1)</f>
        <v>8</v>
      </c>
      <c r="AS14" s="7">
        <f>VLOOKUP(AR14,'Место-баллы'!$A$3:$E$52,2,0)</f>
        <v>71</v>
      </c>
    </row>
    <row r="15" spans="1:45" x14ac:dyDescent="0.25">
      <c r="A15" s="18"/>
      <c r="B15" s="7">
        <f>RANK(C15,C$8:C$16,0)</f>
        <v>8</v>
      </c>
      <c r="C15" s="7">
        <f>SUMIF($G$1:$AS$1,1,$G15:$AS15)</f>
        <v>355</v>
      </c>
      <c r="D15" s="10"/>
      <c r="E15" s="16" t="s">
        <v>34</v>
      </c>
      <c r="F15" s="10"/>
      <c r="G15" s="7">
        <f>26+11</f>
        <v>37</v>
      </c>
      <c r="H15" s="7">
        <f>RANK(G15,G$8:G$16,0)</f>
        <v>9</v>
      </c>
      <c r="I15" s="7">
        <f>VLOOKUP(H15,'Место-баллы'!$A$3:$E$52,2,0)</f>
        <v>69</v>
      </c>
      <c r="J15" s="10"/>
      <c r="K15" s="7">
        <v>8</v>
      </c>
      <c r="L15" s="7">
        <v>5</v>
      </c>
      <c r="M15" s="17">
        <f>TIME(0,K15,L15)</f>
        <v>5.6134259259259271E-3</v>
      </c>
      <c r="N15" s="7">
        <v>26</v>
      </c>
      <c r="O15" s="7">
        <f>N$2-N15</f>
        <v>109</v>
      </c>
      <c r="P15" s="17">
        <f>M15+TIME(0,0,O15)</f>
        <v>6.8750000000000009E-3</v>
      </c>
      <c r="Q15" s="7">
        <f>RANK(P15,P$8:P$16,1)</f>
        <v>9</v>
      </c>
      <c r="R15" s="7">
        <f>VLOOKUP(Q15,'Место-баллы'!$A$3:$E$52,2,0)</f>
        <v>69</v>
      </c>
      <c r="S15" s="10"/>
      <c r="T15" s="7">
        <v>8</v>
      </c>
      <c r="U15" s="7">
        <v>5</v>
      </c>
      <c r="V15" s="17">
        <f>TIME(0,T15,U15)</f>
        <v>5.6134259259259271E-3</v>
      </c>
      <c r="W15" s="7">
        <v>156</v>
      </c>
      <c r="X15" s="7">
        <f>W$2-W15</f>
        <v>90</v>
      </c>
      <c r="Y15" s="17">
        <f>V15+TIME(0,0,X15)</f>
        <v>6.6550925925925935E-3</v>
      </c>
      <c r="Z15" s="7">
        <f>RANK(Y15,Y$8:Y$16,1)</f>
        <v>8</v>
      </c>
      <c r="AA15" s="7">
        <f>VLOOKUP(Z15,'Место-баллы'!$A$3:$E$52,2,0)</f>
        <v>71</v>
      </c>
      <c r="AB15" s="10"/>
      <c r="AC15" s="7">
        <v>12</v>
      </c>
      <c r="AD15" s="7">
        <v>5</v>
      </c>
      <c r="AE15" s="17">
        <f>TIME(0,AC15,AD15)</f>
        <v>8.3912037037037045E-3</v>
      </c>
      <c r="AF15" s="7">
        <v>170</v>
      </c>
      <c r="AG15" s="7">
        <f>AF$2-AF15</f>
        <v>55</v>
      </c>
      <c r="AH15" s="17">
        <f>AE15+TIME(0,0,AG15)</f>
        <v>9.0277777777777787E-3</v>
      </c>
      <c r="AI15" s="7">
        <f>RANK(AH15,AH$8:AH$16,1)</f>
        <v>7</v>
      </c>
      <c r="AJ15" s="7">
        <f>VLOOKUP(AI15,'Место-баллы'!$A$3:$E$52,2,0)</f>
        <v>73</v>
      </c>
      <c r="AK15" s="10"/>
      <c r="AL15" s="7">
        <v>5</v>
      </c>
      <c r="AM15" s="7">
        <v>54</v>
      </c>
      <c r="AN15" s="17">
        <f>TIME(0,AL15,AM15)</f>
        <v>4.0972222222222226E-3</v>
      </c>
      <c r="AO15" s="7">
        <v>5</v>
      </c>
      <c r="AP15" s="7">
        <f>AO$2-AO15</f>
        <v>0</v>
      </c>
      <c r="AQ15" s="17">
        <f>AN15+TIME(0,0,AP15)</f>
        <v>4.0972222222222226E-3</v>
      </c>
      <c r="AR15" s="7">
        <f>RANK(AQ15,AQ$8:AQ$16,1)</f>
        <v>7</v>
      </c>
      <c r="AS15" s="7">
        <f>VLOOKUP(AR15,'Место-баллы'!$A$3:$E$52,2,0)</f>
        <v>73</v>
      </c>
    </row>
    <row r="16" spans="1:45" x14ac:dyDescent="0.25">
      <c r="A16" s="18"/>
      <c r="B16" s="7">
        <f>RANK(C16,C$8:C$16,0)</f>
        <v>9</v>
      </c>
      <c r="C16" s="7">
        <f>SUMIF($G$1:$AS$1,1,$G16:$AS16)</f>
        <v>151</v>
      </c>
      <c r="D16" s="10"/>
      <c r="E16" s="16" t="s">
        <v>37</v>
      </c>
      <c r="F16" s="10"/>
      <c r="G16" s="7">
        <f>36+17</f>
        <v>53</v>
      </c>
      <c r="H16" s="7">
        <f>RANK(G16,G$8:G$16,0)</f>
        <v>5</v>
      </c>
      <c r="I16" s="7">
        <f>VLOOKUP(H16,'Место-баллы'!$A$3:$E$52,2,0)</f>
        <v>80</v>
      </c>
      <c r="J16" s="10"/>
      <c r="K16" s="7">
        <v>8</v>
      </c>
      <c r="L16" s="7">
        <v>5</v>
      </c>
      <c r="M16" s="17">
        <f>TIME(0,K16,L16)</f>
        <v>5.6134259259259271E-3</v>
      </c>
      <c r="N16" s="7">
        <f>42+14</f>
        <v>56</v>
      </c>
      <c r="O16" s="7">
        <f>N$2-N16</f>
        <v>79</v>
      </c>
      <c r="P16" s="17">
        <f>M16+TIME(0,0,O16)</f>
        <v>6.527777777777779E-3</v>
      </c>
      <c r="Q16" s="7">
        <f>RANK(P16,P$8:P$16,1)</f>
        <v>8</v>
      </c>
      <c r="R16" s="7">
        <f>VLOOKUP(Q16,'Место-баллы'!$A$3:$E$52,2,0)</f>
        <v>71</v>
      </c>
      <c r="S16" s="10"/>
      <c r="T16" s="7"/>
      <c r="U16" s="7"/>
      <c r="V16" s="17"/>
      <c r="W16" s="7"/>
      <c r="X16" s="7"/>
      <c r="Y16" s="17"/>
      <c r="Z16" s="7"/>
      <c r="AA16" s="7" t="s">
        <v>88</v>
      </c>
      <c r="AB16" s="10"/>
      <c r="AC16" s="7"/>
      <c r="AD16" s="7"/>
      <c r="AE16" s="17"/>
      <c r="AF16" s="7"/>
      <c r="AG16" s="7"/>
      <c r="AH16" s="17"/>
      <c r="AI16" s="7"/>
      <c r="AJ16" s="7" t="s">
        <v>88</v>
      </c>
      <c r="AK16" s="10"/>
      <c r="AL16" s="7"/>
      <c r="AM16" s="7"/>
      <c r="AN16" s="17"/>
      <c r="AO16" s="7"/>
      <c r="AP16" s="7"/>
      <c r="AQ16" s="17"/>
      <c r="AR16" s="7"/>
      <c r="AS16" s="7" t="s">
        <v>88</v>
      </c>
    </row>
    <row r="17" spans="1:1" ht="15.75" customHeight="1" x14ac:dyDescent="0.25">
      <c r="A17" s="18"/>
    </row>
    <row r="18" spans="1:1" ht="15.75" customHeight="1" x14ac:dyDescent="0.25">
      <c r="A18" s="18"/>
    </row>
    <row r="19" spans="1:1" ht="15.75" customHeight="1" x14ac:dyDescent="0.25"/>
    <row r="20" spans="1:1" ht="15.75" customHeight="1" x14ac:dyDescent="0.25"/>
    <row r="21" spans="1:1" ht="15.75" customHeight="1" x14ac:dyDescent="0.25"/>
    <row r="22" spans="1:1" ht="15.75" customHeight="1" x14ac:dyDescent="0.25"/>
    <row r="23" spans="1:1" ht="15.75" customHeight="1" x14ac:dyDescent="0.25"/>
    <row r="24" spans="1:1" ht="15.75" customHeight="1" x14ac:dyDescent="0.25"/>
    <row r="25" spans="1:1" ht="15.75" customHeight="1" x14ac:dyDescent="0.25"/>
    <row r="26" spans="1:1" ht="15.75" customHeight="1" x14ac:dyDescent="0.25"/>
    <row r="27" spans="1:1" ht="15.75" customHeight="1" x14ac:dyDescent="0.25"/>
    <row r="28" spans="1:1" ht="15.75" customHeight="1" x14ac:dyDescent="0.25"/>
    <row r="29" spans="1:1" ht="15.75" customHeight="1" x14ac:dyDescent="0.25"/>
    <row r="30" spans="1:1" ht="15.75" customHeight="1" x14ac:dyDescent="0.25"/>
    <row r="31" spans="1:1" ht="15.75" customHeight="1" x14ac:dyDescent="0.25"/>
    <row r="32" spans="1: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</sheetData>
  <mergeCells count="7">
    <mergeCell ref="AL5:AS6"/>
    <mergeCell ref="B5:C6"/>
    <mergeCell ref="E5:E6"/>
    <mergeCell ref="G5:I6"/>
    <mergeCell ref="T5:AA6"/>
    <mergeCell ref="AC5:AJ6"/>
    <mergeCell ref="K5:R6"/>
  </mergeCells>
  <printOptions horizontalCentered="1" verticalCentered="1"/>
  <pageMargins left="0" right="0" top="0" bottom="0" header="0" footer="0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6FF97-BF63-4553-8C54-F1708E7605BF}">
  <sheetPr>
    <pageSetUpPr fitToPage="1"/>
  </sheetPr>
  <dimension ref="A1:AS71"/>
  <sheetViews>
    <sheetView zoomScaleNormal="10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J16" sqref="J16"/>
    </sheetView>
  </sheetViews>
  <sheetFormatPr defaultColWidth="14.42578125" defaultRowHeight="15" customHeight="1" outlineLevelCol="1" x14ac:dyDescent="0.25"/>
  <cols>
    <col min="1" max="1" width="8.7109375" customWidth="1"/>
    <col min="2" max="2" width="9" customWidth="1"/>
    <col min="3" max="3" width="7.42578125" customWidth="1"/>
    <col min="4" max="4" width="1.42578125" customWidth="1"/>
    <col min="5" max="5" width="24.5703125" bestFit="1" customWidth="1"/>
    <col min="6" max="6" width="1.42578125" customWidth="1"/>
    <col min="7" max="7" width="6.85546875" hidden="1" customWidth="1" outlineLevel="1"/>
    <col min="8" max="8" width="7.140625" customWidth="1" collapsed="1"/>
    <col min="9" max="9" width="6.85546875" customWidth="1"/>
    <col min="10" max="10" width="1.42578125" customWidth="1"/>
    <col min="11" max="11" width="5.140625" hidden="1" customWidth="1" outlineLevel="1"/>
    <col min="12" max="12" width="4.28515625" hidden="1" customWidth="1" outlineLevel="1"/>
    <col min="13" max="13" width="7.140625" hidden="1" customWidth="1" outlineLevel="1"/>
    <col min="14" max="14" width="6.85546875" hidden="1" customWidth="1" outlineLevel="1"/>
    <col min="15" max="15" width="7.85546875" hidden="1" customWidth="1" outlineLevel="1"/>
    <col min="16" max="16" width="7.140625" hidden="1" customWidth="1" outlineLevel="1"/>
    <col min="17" max="17" width="7.140625" customWidth="1" collapsed="1"/>
    <col min="18" max="18" width="6.85546875" customWidth="1"/>
    <col min="19" max="19" width="1.42578125" customWidth="1"/>
    <col min="20" max="20" width="5.140625" hidden="1" customWidth="1" outlineLevel="1"/>
    <col min="21" max="21" width="4.28515625" hidden="1" customWidth="1" outlineLevel="1"/>
    <col min="22" max="22" width="7.140625" hidden="1" customWidth="1" outlineLevel="1"/>
    <col min="23" max="23" width="6.85546875" hidden="1" customWidth="1" outlineLevel="1"/>
    <col min="24" max="24" width="7.85546875" hidden="1" customWidth="1" outlineLevel="1"/>
    <col min="25" max="25" width="7.140625" hidden="1" customWidth="1" outlineLevel="1"/>
    <col min="26" max="26" width="7.140625" customWidth="1" collapsed="1"/>
    <col min="27" max="27" width="6.85546875" customWidth="1"/>
    <col min="28" max="28" width="1.42578125" customWidth="1"/>
    <col min="29" max="29" width="5.140625" hidden="1" customWidth="1" outlineLevel="1"/>
    <col min="30" max="30" width="4.28515625" hidden="1" customWidth="1" outlineLevel="1"/>
    <col min="31" max="31" width="7.140625" customWidth="1" collapsed="1"/>
    <col min="32" max="32" width="6.85546875" customWidth="1"/>
    <col min="33" max="33" width="7.85546875" hidden="1" customWidth="1" outlineLevel="1"/>
    <col min="34" max="34" width="7.140625" hidden="1" customWidth="1" outlineLevel="1"/>
    <col min="35" max="35" width="7.140625" customWidth="1" collapsed="1"/>
    <col min="36" max="36" width="6.85546875" customWidth="1"/>
    <col min="37" max="37" width="1.42578125" customWidth="1"/>
    <col min="38" max="38" width="5.140625" hidden="1" customWidth="1" outlineLevel="1"/>
    <col min="39" max="39" width="4.28515625" hidden="1" customWidth="1" outlineLevel="1"/>
    <col min="40" max="40" width="7.140625" customWidth="1" collapsed="1"/>
    <col min="41" max="41" width="6.85546875" customWidth="1"/>
    <col min="42" max="42" width="7.85546875" hidden="1" customWidth="1" outlineLevel="1"/>
    <col min="43" max="43" width="7.140625" hidden="1" customWidth="1" outlineLevel="1"/>
    <col min="44" max="44" width="7.140625" customWidth="1" collapsed="1"/>
    <col min="45" max="45" width="6.85546875" customWidth="1"/>
  </cols>
  <sheetData>
    <row r="1" spans="1:45" x14ac:dyDescent="0.25">
      <c r="E1" s="14"/>
      <c r="G1" s="3"/>
      <c r="H1" s="3"/>
      <c r="I1" s="4">
        <v>1</v>
      </c>
      <c r="K1" s="3"/>
      <c r="L1" s="3"/>
      <c r="M1" s="3"/>
      <c r="N1" s="3"/>
      <c r="O1" s="3"/>
      <c r="P1" s="3"/>
      <c r="Q1" s="3"/>
      <c r="R1" s="4">
        <v>1</v>
      </c>
      <c r="T1" s="3"/>
      <c r="U1" s="3"/>
      <c r="V1" s="3"/>
      <c r="W1" s="3"/>
      <c r="X1" s="3"/>
      <c r="Y1" s="3"/>
      <c r="Z1" s="3"/>
      <c r="AA1" s="4">
        <v>1</v>
      </c>
      <c r="AC1" s="3"/>
      <c r="AD1" s="3"/>
      <c r="AE1" s="3"/>
      <c r="AF1" s="3"/>
      <c r="AG1" s="3"/>
      <c r="AH1" s="3"/>
      <c r="AI1" s="3"/>
      <c r="AJ1" s="4">
        <v>1</v>
      </c>
      <c r="AL1" s="3"/>
      <c r="AM1" s="3"/>
      <c r="AN1" s="3"/>
      <c r="AO1" s="3"/>
      <c r="AP1" s="3"/>
      <c r="AQ1" s="3"/>
      <c r="AR1" s="3"/>
      <c r="AS1" s="4">
        <v>1</v>
      </c>
    </row>
    <row r="2" spans="1:45" x14ac:dyDescent="0.25">
      <c r="E2" s="14"/>
      <c r="G2" s="3"/>
      <c r="H2" s="3"/>
      <c r="I2" s="3"/>
      <c r="K2" s="3"/>
      <c r="L2" s="3"/>
      <c r="M2" s="3"/>
      <c r="N2" s="5">
        <f>42+21+30+15+18+9</f>
        <v>135</v>
      </c>
      <c r="O2" s="3"/>
      <c r="P2" s="3"/>
      <c r="Q2" s="3"/>
      <c r="R2" s="3"/>
      <c r="T2" s="3"/>
      <c r="U2" s="3"/>
      <c r="V2" s="3"/>
      <c r="W2" s="5">
        <f>50+50+3+3+50+50+20+20</f>
        <v>246</v>
      </c>
      <c r="X2" s="3"/>
      <c r="Y2" s="3"/>
      <c r="Z2" s="3"/>
      <c r="AA2" s="3"/>
      <c r="AC2" s="3"/>
      <c r="AD2" s="3"/>
      <c r="AE2" s="3"/>
      <c r="AF2" s="5">
        <f>3*(25+50)</f>
        <v>225</v>
      </c>
      <c r="AG2" s="3"/>
      <c r="AH2" s="3"/>
      <c r="AI2" s="3"/>
      <c r="AJ2" s="3"/>
      <c r="AL2" s="3"/>
      <c r="AM2" s="3"/>
      <c r="AN2" s="3"/>
      <c r="AO2" s="5">
        <v>5</v>
      </c>
      <c r="AP2" s="3"/>
      <c r="AQ2" s="3"/>
      <c r="AR2" s="3"/>
      <c r="AS2" s="3"/>
    </row>
    <row r="3" spans="1:45" x14ac:dyDescent="0.25">
      <c r="E3" s="14"/>
      <c r="G3" s="6"/>
      <c r="H3" s="3"/>
      <c r="I3" s="3"/>
      <c r="K3" s="3"/>
      <c r="L3" s="3"/>
      <c r="M3" s="3"/>
      <c r="N3" s="6" t="s">
        <v>29</v>
      </c>
      <c r="O3" s="3"/>
      <c r="P3" s="3"/>
      <c r="Q3" s="3"/>
      <c r="R3" s="3"/>
      <c r="T3" s="3"/>
      <c r="U3" s="3"/>
      <c r="V3" s="3"/>
      <c r="W3" s="6" t="s">
        <v>29</v>
      </c>
      <c r="X3" s="3"/>
      <c r="Y3" s="3"/>
      <c r="Z3" s="3"/>
      <c r="AA3" s="3"/>
      <c r="AC3" s="3"/>
      <c r="AD3" s="3"/>
      <c r="AE3" s="3"/>
      <c r="AF3" s="6" t="s">
        <v>28</v>
      </c>
      <c r="AG3" s="3"/>
      <c r="AH3" s="3"/>
      <c r="AI3" s="3"/>
      <c r="AJ3" s="3"/>
      <c r="AL3" s="3"/>
      <c r="AM3" s="3"/>
      <c r="AN3" s="3"/>
      <c r="AO3" s="6" t="s">
        <v>30</v>
      </c>
      <c r="AP3" s="3"/>
      <c r="AQ3" s="3"/>
      <c r="AR3" s="3"/>
      <c r="AS3" s="3"/>
    </row>
    <row r="4" spans="1:45" x14ac:dyDescent="0.25">
      <c r="G4" s="3"/>
      <c r="H4" s="3"/>
      <c r="I4" s="3"/>
      <c r="K4" s="3"/>
      <c r="L4" s="3"/>
      <c r="M4" s="3"/>
      <c r="N4" s="3"/>
      <c r="O4" s="3"/>
      <c r="P4" s="3"/>
      <c r="Q4" s="3"/>
      <c r="R4" s="3"/>
      <c r="T4" s="3"/>
      <c r="U4" s="3"/>
      <c r="V4" s="3"/>
      <c r="W4" s="3"/>
      <c r="X4" s="3"/>
      <c r="Y4" s="3"/>
      <c r="Z4" s="3"/>
      <c r="AA4" s="3"/>
      <c r="AC4" s="3"/>
      <c r="AD4" s="3"/>
      <c r="AE4" s="3"/>
      <c r="AF4" s="3"/>
      <c r="AG4" s="3"/>
      <c r="AH4" s="3"/>
      <c r="AI4" s="3"/>
      <c r="AJ4" s="3"/>
      <c r="AL4" s="3"/>
      <c r="AM4" s="3"/>
      <c r="AN4" s="3"/>
      <c r="AO4" s="3"/>
      <c r="AP4" s="3"/>
      <c r="AQ4" s="3"/>
      <c r="AR4" s="3"/>
      <c r="AS4" s="3"/>
    </row>
    <row r="5" spans="1:45" ht="15" customHeight="1" x14ac:dyDescent="0.25">
      <c r="B5" s="24" t="s">
        <v>4</v>
      </c>
      <c r="C5" s="25"/>
      <c r="D5" s="7"/>
      <c r="E5" s="24" t="s">
        <v>115</v>
      </c>
      <c r="F5" s="7"/>
      <c r="G5" s="24" t="s">
        <v>26</v>
      </c>
      <c r="H5" s="25"/>
      <c r="I5" s="25"/>
      <c r="J5" s="7"/>
      <c r="K5" s="24" t="s">
        <v>27</v>
      </c>
      <c r="L5" s="25"/>
      <c r="M5" s="25"/>
      <c r="N5" s="25"/>
      <c r="O5" s="25"/>
      <c r="P5" s="25"/>
      <c r="Q5" s="25"/>
      <c r="R5" s="25"/>
      <c r="S5" s="7"/>
      <c r="T5" s="24" t="s">
        <v>5</v>
      </c>
      <c r="U5" s="25"/>
      <c r="V5" s="25"/>
      <c r="W5" s="25"/>
      <c r="X5" s="25"/>
      <c r="Y5" s="25"/>
      <c r="Z5" s="25"/>
      <c r="AA5" s="25"/>
      <c r="AB5" s="7"/>
      <c r="AC5" s="24" t="s">
        <v>6</v>
      </c>
      <c r="AD5" s="25"/>
      <c r="AE5" s="25"/>
      <c r="AF5" s="25"/>
      <c r="AG5" s="25"/>
      <c r="AH5" s="25"/>
      <c r="AI5" s="25"/>
      <c r="AJ5" s="25"/>
      <c r="AK5" s="7"/>
      <c r="AL5" s="24" t="s">
        <v>7</v>
      </c>
      <c r="AM5" s="25"/>
      <c r="AN5" s="25"/>
      <c r="AO5" s="25"/>
      <c r="AP5" s="25"/>
      <c r="AQ5" s="25"/>
      <c r="AR5" s="25"/>
      <c r="AS5" s="25"/>
    </row>
    <row r="6" spans="1:45" x14ac:dyDescent="0.25">
      <c r="B6" s="25"/>
      <c r="C6" s="25"/>
      <c r="D6" s="8"/>
      <c r="E6" s="25"/>
      <c r="F6" s="8"/>
      <c r="G6" s="25"/>
      <c r="H6" s="25"/>
      <c r="I6" s="25"/>
      <c r="J6" s="8"/>
      <c r="K6" s="25"/>
      <c r="L6" s="25"/>
      <c r="M6" s="25"/>
      <c r="N6" s="25"/>
      <c r="O6" s="25"/>
      <c r="P6" s="25"/>
      <c r="Q6" s="25"/>
      <c r="R6" s="25"/>
      <c r="S6" s="8"/>
      <c r="T6" s="25"/>
      <c r="U6" s="25"/>
      <c r="V6" s="25"/>
      <c r="W6" s="25"/>
      <c r="X6" s="25"/>
      <c r="Y6" s="25"/>
      <c r="Z6" s="25"/>
      <c r="AA6" s="25"/>
      <c r="AB6" s="8"/>
      <c r="AC6" s="25"/>
      <c r="AD6" s="25"/>
      <c r="AE6" s="25"/>
      <c r="AF6" s="25"/>
      <c r="AG6" s="25"/>
      <c r="AH6" s="25"/>
      <c r="AI6" s="25"/>
      <c r="AJ6" s="25"/>
      <c r="AK6" s="8"/>
      <c r="AL6" s="25"/>
      <c r="AM6" s="25"/>
      <c r="AN6" s="25"/>
      <c r="AO6" s="25"/>
      <c r="AP6" s="25"/>
      <c r="AQ6" s="25"/>
      <c r="AR6" s="25"/>
      <c r="AS6" s="25"/>
    </row>
    <row r="7" spans="1:45" ht="25.5" x14ac:dyDescent="0.25">
      <c r="A7" s="18"/>
      <c r="B7" s="13" t="s">
        <v>8</v>
      </c>
      <c r="C7" s="13" t="s">
        <v>9</v>
      </c>
      <c r="D7" s="9"/>
      <c r="E7" s="15" t="s">
        <v>25</v>
      </c>
      <c r="F7" s="9"/>
      <c r="G7" s="13" t="s">
        <v>16</v>
      </c>
      <c r="H7" s="12" t="s">
        <v>14</v>
      </c>
      <c r="I7" s="12" t="s">
        <v>15</v>
      </c>
      <c r="J7" s="9"/>
      <c r="K7" s="12" t="s">
        <v>11</v>
      </c>
      <c r="L7" s="12" t="s">
        <v>12</v>
      </c>
      <c r="M7" s="12" t="s">
        <v>13</v>
      </c>
      <c r="N7" s="13" t="s">
        <v>16</v>
      </c>
      <c r="O7" s="12" t="s">
        <v>17</v>
      </c>
      <c r="P7" s="12" t="s">
        <v>13</v>
      </c>
      <c r="Q7" s="12" t="s">
        <v>14</v>
      </c>
      <c r="R7" s="12" t="s">
        <v>15</v>
      </c>
      <c r="S7" s="9"/>
      <c r="T7" s="12" t="s">
        <v>11</v>
      </c>
      <c r="U7" s="12" t="s">
        <v>12</v>
      </c>
      <c r="V7" s="12" t="s">
        <v>13</v>
      </c>
      <c r="W7" s="13" t="s">
        <v>16</v>
      </c>
      <c r="X7" s="12" t="s">
        <v>17</v>
      </c>
      <c r="Y7" s="12" t="s">
        <v>13</v>
      </c>
      <c r="Z7" s="12" t="s">
        <v>14</v>
      </c>
      <c r="AA7" s="12" t="s">
        <v>15</v>
      </c>
      <c r="AB7" s="9"/>
      <c r="AC7" s="12" t="s">
        <v>11</v>
      </c>
      <c r="AD7" s="12" t="s">
        <v>12</v>
      </c>
      <c r="AE7" s="12" t="s">
        <v>13</v>
      </c>
      <c r="AF7" s="13" t="s">
        <v>16</v>
      </c>
      <c r="AG7" s="12" t="s">
        <v>17</v>
      </c>
      <c r="AH7" s="12" t="s">
        <v>13</v>
      </c>
      <c r="AI7" s="12" t="s">
        <v>14</v>
      </c>
      <c r="AJ7" s="12" t="s">
        <v>15</v>
      </c>
      <c r="AK7" s="9"/>
      <c r="AL7" s="12" t="s">
        <v>11</v>
      </c>
      <c r="AM7" s="12" t="s">
        <v>12</v>
      </c>
      <c r="AN7" s="12" t="s">
        <v>13</v>
      </c>
      <c r="AO7" s="13" t="s">
        <v>16</v>
      </c>
      <c r="AP7" s="12" t="s">
        <v>17</v>
      </c>
      <c r="AQ7" s="12" t="s">
        <v>13</v>
      </c>
      <c r="AR7" s="12" t="s">
        <v>14</v>
      </c>
      <c r="AS7" s="12" t="s">
        <v>15</v>
      </c>
    </row>
    <row r="8" spans="1:45" x14ac:dyDescent="0.25">
      <c r="A8" s="18"/>
      <c r="B8" s="7">
        <f>RANK(C8,C$8:C$11,0)</f>
        <v>1</v>
      </c>
      <c r="C8" s="7">
        <f>SUMIF($G$1:$AS$1,1,$G8:$AS8)</f>
        <v>465</v>
      </c>
      <c r="D8" s="10"/>
      <c r="E8" s="16" t="s">
        <v>40</v>
      </c>
      <c r="F8" s="10"/>
      <c r="G8" s="7">
        <f>40+27</f>
        <v>67</v>
      </c>
      <c r="H8" s="7">
        <f>RANK(G8,G$8:G$11,0)</f>
        <v>2</v>
      </c>
      <c r="I8" s="7">
        <f>VLOOKUP(H8,'Место-баллы'!$A$3:$E$52,2,0)</f>
        <v>95</v>
      </c>
      <c r="J8" s="10"/>
      <c r="K8" s="7">
        <f>8</f>
        <v>8</v>
      </c>
      <c r="L8" s="7">
        <v>5</v>
      </c>
      <c r="M8" s="17">
        <f>TIME(0,K8,L8)</f>
        <v>5.6134259259259271E-3</v>
      </c>
      <c r="N8" s="7">
        <v>118</v>
      </c>
      <c r="O8" s="7">
        <f>N$2-N8</f>
        <v>17</v>
      </c>
      <c r="P8" s="17">
        <f>M8+TIME(0,0,O8)</f>
        <v>5.8101851851851865E-3</v>
      </c>
      <c r="Q8" s="7">
        <f>RANK(P8,P$8:P$11,1)</f>
        <v>4</v>
      </c>
      <c r="R8" s="7">
        <f>VLOOKUP(Q8,'Место-баллы'!$A$3:$E$52,2,0)</f>
        <v>85</v>
      </c>
      <c r="S8" s="10"/>
      <c r="T8" s="7">
        <v>3</v>
      </c>
      <c r="U8" s="7">
        <v>51</v>
      </c>
      <c r="V8" s="17">
        <f>TIME(0,T8,U8)</f>
        <v>2.673611111111111E-3</v>
      </c>
      <c r="W8" s="7">
        <v>246</v>
      </c>
      <c r="X8" s="7">
        <f>W$2-W8</f>
        <v>0</v>
      </c>
      <c r="Y8" s="17">
        <f>V8+TIME(0,0,X8)</f>
        <v>2.673611111111111E-3</v>
      </c>
      <c r="Z8" s="7">
        <f>RANK(Y8,Y$8:Y$11,1)</f>
        <v>1</v>
      </c>
      <c r="AA8" s="7">
        <f>VLOOKUP(Z8,'Место-баллы'!$A$3:$E$52,2,0)</f>
        <v>100</v>
      </c>
      <c r="AB8" s="10"/>
      <c r="AC8" s="7">
        <v>10</v>
      </c>
      <c r="AD8" s="7">
        <v>2</v>
      </c>
      <c r="AE8" s="17">
        <f>TIME(0,AC8,AD8)</f>
        <v>6.9675925925925921E-3</v>
      </c>
      <c r="AF8" s="7">
        <v>225</v>
      </c>
      <c r="AG8" s="7">
        <f>AF$2-AF8</f>
        <v>0</v>
      </c>
      <c r="AH8" s="17">
        <f>AE8+TIME(0,0,AG8)</f>
        <v>6.9675925925925921E-3</v>
      </c>
      <c r="AI8" s="7">
        <f>RANK(AH8,AH$8:AH$11,1)</f>
        <v>2</v>
      </c>
      <c r="AJ8" s="7">
        <f>VLOOKUP(AI8,'Место-баллы'!$A$3:$E$52,2,0)</f>
        <v>95</v>
      </c>
      <c r="AK8" s="10"/>
      <c r="AL8" s="7">
        <v>4</v>
      </c>
      <c r="AM8" s="7">
        <v>53</v>
      </c>
      <c r="AN8" s="17">
        <f>TIME(0,AL8,AM8)</f>
        <v>3.3912037037037036E-3</v>
      </c>
      <c r="AO8" s="7">
        <v>5</v>
      </c>
      <c r="AP8" s="7">
        <f>AO$2-AO8</f>
        <v>0</v>
      </c>
      <c r="AQ8" s="17">
        <f>AN8+TIME(0,0,AP8)</f>
        <v>3.3912037037037036E-3</v>
      </c>
      <c r="AR8" s="7">
        <f>RANK(AQ8,AQ$8:AQ$11,1)</f>
        <v>3</v>
      </c>
      <c r="AS8" s="7">
        <f>VLOOKUP(AR8,'Место-баллы'!$A$3:$E$52,2,0)</f>
        <v>90</v>
      </c>
    </row>
    <row r="9" spans="1:45" x14ac:dyDescent="0.25">
      <c r="A9" s="18"/>
      <c r="B9" s="7">
        <v>2</v>
      </c>
      <c r="C9" s="7">
        <f>SUMIF($G$1:$AS$1,1,$G9:$AS9)</f>
        <v>465</v>
      </c>
      <c r="D9" s="10"/>
      <c r="E9" s="16" t="s">
        <v>39</v>
      </c>
      <c r="F9" s="10"/>
      <c r="G9" s="7">
        <f>37+25</f>
        <v>62</v>
      </c>
      <c r="H9" s="7">
        <f>RANK(G9,G$8:G$11,0)</f>
        <v>3</v>
      </c>
      <c r="I9" s="7">
        <f>VLOOKUP(H9,'Место-баллы'!$A$3:$E$52,2,0)</f>
        <v>90</v>
      </c>
      <c r="J9" s="10"/>
      <c r="K9" s="7">
        <v>7</v>
      </c>
      <c r="L9" s="7">
        <v>42</v>
      </c>
      <c r="M9" s="17">
        <f>TIME(0,K9,L9)</f>
        <v>5.347222222222222E-3</v>
      </c>
      <c r="N9" s="7">
        <v>135</v>
      </c>
      <c r="O9" s="7">
        <f>N$2-N9</f>
        <v>0</v>
      </c>
      <c r="P9" s="17">
        <f>M9+TIME(0,0,O9)</f>
        <v>5.347222222222222E-3</v>
      </c>
      <c r="Q9" s="7">
        <f>RANK(P9,P$8:P$11,1)</f>
        <v>2</v>
      </c>
      <c r="R9" s="7">
        <f>VLOOKUP(Q9,'Место-баллы'!$A$3:$E$52,2,0)</f>
        <v>95</v>
      </c>
      <c r="S9" s="10"/>
      <c r="T9" s="7">
        <v>3</v>
      </c>
      <c r="U9" s="7">
        <v>58</v>
      </c>
      <c r="V9" s="17">
        <f>TIME(0,T9,U9)</f>
        <v>2.7546296296296294E-3</v>
      </c>
      <c r="W9" s="7">
        <v>246</v>
      </c>
      <c r="X9" s="7">
        <f>W$2-W9</f>
        <v>0</v>
      </c>
      <c r="Y9" s="17">
        <f>V9+TIME(0,0,X9)</f>
        <v>2.7546296296296294E-3</v>
      </c>
      <c r="Z9" s="7">
        <f>RANK(Y9,Y$8:Y$11,1)</f>
        <v>2</v>
      </c>
      <c r="AA9" s="7">
        <f>VLOOKUP(Z9,'Место-баллы'!$A$3:$E$52,2,0)</f>
        <v>95</v>
      </c>
      <c r="AB9" s="10"/>
      <c r="AC9" s="7">
        <v>9</v>
      </c>
      <c r="AD9" s="7">
        <v>32</v>
      </c>
      <c r="AE9" s="17">
        <f>TIME(0,AC9,AD9)</f>
        <v>6.6203703703703702E-3</v>
      </c>
      <c r="AF9" s="7">
        <v>225</v>
      </c>
      <c r="AG9" s="7">
        <f>AF$2-AF9</f>
        <v>0</v>
      </c>
      <c r="AH9" s="17">
        <f>AE9+TIME(0,0,AG9)</f>
        <v>6.6203703703703702E-3</v>
      </c>
      <c r="AI9" s="7">
        <f>RANK(AH9,AH$8:AH$11,1)</f>
        <v>1</v>
      </c>
      <c r="AJ9" s="7">
        <f>VLOOKUP(AI9,'Место-баллы'!$A$3:$E$52,2,0)</f>
        <v>100</v>
      </c>
      <c r="AK9" s="10"/>
      <c r="AL9" s="7">
        <v>4</v>
      </c>
      <c r="AM9" s="7">
        <v>57</v>
      </c>
      <c r="AN9" s="17">
        <f>TIME(0,AL9,AM9)</f>
        <v>3.4375E-3</v>
      </c>
      <c r="AO9" s="7">
        <v>5</v>
      </c>
      <c r="AP9" s="7">
        <f>AO$2-AO9</f>
        <v>0</v>
      </c>
      <c r="AQ9" s="17">
        <f>AN9+TIME(0,0,AP9)</f>
        <v>3.4375E-3</v>
      </c>
      <c r="AR9" s="7">
        <f>RANK(AQ9,AQ$8:AQ$11,1)</f>
        <v>4</v>
      </c>
      <c r="AS9" s="7">
        <f>VLOOKUP(AR9,'Место-баллы'!$A$3:$E$52,2,0)</f>
        <v>85</v>
      </c>
    </row>
    <row r="10" spans="1:45" x14ac:dyDescent="0.25">
      <c r="A10" s="18"/>
      <c r="B10" s="7">
        <f>RANK(C10,C$8:C$11,0)</f>
        <v>3</v>
      </c>
      <c r="C10" s="7">
        <f>SUMIF($G$1:$AS$1,1,$G10:$AS10)</f>
        <v>460</v>
      </c>
      <c r="D10" s="10"/>
      <c r="E10" s="16" t="s">
        <v>41</v>
      </c>
      <c r="F10" s="10"/>
      <c r="G10" s="7">
        <f>36+32</f>
        <v>68</v>
      </c>
      <c r="H10" s="7">
        <f>RANK(G10,G$8:G$11,0)</f>
        <v>1</v>
      </c>
      <c r="I10" s="7">
        <f>VLOOKUP(H10,'Место-баллы'!$A$3:$E$52,2,0)</f>
        <v>100</v>
      </c>
      <c r="J10" s="10"/>
      <c r="K10" s="7">
        <v>8</v>
      </c>
      <c r="L10" s="7">
        <v>5</v>
      </c>
      <c r="M10" s="17">
        <f>TIME(0,K10,L10)</f>
        <v>5.6134259259259271E-3</v>
      </c>
      <c r="N10" s="7">
        <f>117+5</f>
        <v>122</v>
      </c>
      <c r="O10" s="7">
        <f>N$2-N10</f>
        <v>13</v>
      </c>
      <c r="P10" s="17">
        <f>M10+TIME(0,0,O10)</f>
        <v>5.7638888888888904E-3</v>
      </c>
      <c r="Q10" s="7">
        <f>RANK(P10,P$8:P$11,1)</f>
        <v>3</v>
      </c>
      <c r="R10" s="7">
        <f>VLOOKUP(Q10,'Место-баллы'!$A$3:$E$52,2,0)</f>
        <v>90</v>
      </c>
      <c r="S10" s="10"/>
      <c r="T10" s="7">
        <v>7</v>
      </c>
      <c r="U10" s="7">
        <v>22</v>
      </c>
      <c r="V10" s="17">
        <f>TIME(0,T10,U10)</f>
        <v>5.115740740740741E-3</v>
      </c>
      <c r="W10" s="7">
        <v>246</v>
      </c>
      <c r="X10" s="7">
        <f>W$2-W10</f>
        <v>0</v>
      </c>
      <c r="Y10" s="17">
        <f>V10+TIME(0,0,X10)</f>
        <v>5.115740740740741E-3</v>
      </c>
      <c r="Z10" s="7">
        <f>RANK(Y10,Y$8:Y$11,1)</f>
        <v>4</v>
      </c>
      <c r="AA10" s="7">
        <f>VLOOKUP(Z10,'Место-баллы'!$A$3:$E$52,2,0)</f>
        <v>85</v>
      </c>
      <c r="AB10" s="10"/>
      <c r="AC10" s="7">
        <v>12</v>
      </c>
      <c r="AD10" s="7">
        <v>5</v>
      </c>
      <c r="AE10" s="17">
        <f>TIME(0,AC10,AD10)</f>
        <v>8.3912037037037045E-3</v>
      </c>
      <c r="AF10" s="7">
        <v>145</v>
      </c>
      <c r="AG10" s="7">
        <f>AF$2-AF10</f>
        <v>80</v>
      </c>
      <c r="AH10" s="17">
        <f>AE10+TIME(0,0,AG10)</f>
        <v>9.3171296296296301E-3</v>
      </c>
      <c r="AI10" s="7">
        <f>RANK(AH10,AH$8:AH$11,1)</f>
        <v>4</v>
      </c>
      <c r="AJ10" s="7">
        <f>VLOOKUP(AI10,'Место-баллы'!$A$3:$E$52,2,0)</f>
        <v>85</v>
      </c>
      <c r="AK10" s="10"/>
      <c r="AL10" s="7">
        <v>4</v>
      </c>
      <c r="AM10" s="7">
        <v>21</v>
      </c>
      <c r="AN10" s="17">
        <f>TIME(0,AL10,AM10)</f>
        <v>3.0208333333333333E-3</v>
      </c>
      <c r="AO10" s="7">
        <v>5</v>
      </c>
      <c r="AP10" s="7">
        <f>AO$2-AO10</f>
        <v>0</v>
      </c>
      <c r="AQ10" s="17">
        <f>AN10+TIME(0,0,AP10)</f>
        <v>3.0208333333333333E-3</v>
      </c>
      <c r="AR10" s="7">
        <f>RANK(AQ10,AQ$8:AQ$11,1)</f>
        <v>1</v>
      </c>
      <c r="AS10" s="7">
        <f>VLOOKUP(AR10,'Место-баллы'!$A$3:$E$52,2,0)</f>
        <v>100</v>
      </c>
    </row>
    <row r="11" spans="1:45" x14ac:dyDescent="0.25">
      <c r="A11" s="18"/>
      <c r="B11" s="7">
        <v>4</v>
      </c>
      <c r="C11" s="7">
        <f>SUMIF($G$1:$AS$1,1,$G11:$AS11)</f>
        <v>460</v>
      </c>
      <c r="D11" s="10"/>
      <c r="E11" s="16" t="s">
        <v>42</v>
      </c>
      <c r="F11" s="10"/>
      <c r="G11" s="7">
        <f>38+22</f>
        <v>60</v>
      </c>
      <c r="H11" s="7">
        <f>RANK(G11,G$8:G$11,0)</f>
        <v>4</v>
      </c>
      <c r="I11" s="7">
        <f>VLOOKUP(H11,'Место-баллы'!$A$3:$E$52,2,0)</f>
        <v>85</v>
      </c>
      <c r="J11" s="10"/>
      <c r="K11" s="7">
        <v>7</v>
      </c>
      <c r="L11" s="7">
        <v>21</v>
      </c>
      <c r="M11" s="17">
        <f>TIME(0,K11,L11)</f>
        <v>5.1041666666666666E-3</v>
      </c>
      <c r="N11" s="7">
        <v>135</v>
      </c>
      <c r="O11" s="7">
        <f>N$2-N11</f>
        <v>0</v>
      </c>
      <c r="P11" s="17">
        <f>M11+TIME(0,0,O11)</f>
        <v>5.1041666666666666E-3</v>
      </c>
      <c r="Q11" s="7">
        <f>RANK(P11,P$8:P$11,1)</f>
        <v>1</v>
      </c>
      <c r="R11" s="7">
        <f>VLOOKUP(Q11,'Место-баллы'!$A$3:$E$52,2,0)</f>
        <v>100</v>
      </c>
      <c r="S11" s="10"/>
      <c r="T11" s="7">
        <v>4</v>
      </c>
      <c r="U11" s="7">
        <v>46</v>
      </c>
      <c r="V11" s="17">
        <f>TIME(0,T11,U11)</f>
        <v>3.3101851851851851E-3</v>
      </c>
      <c r="W11" s="7">
        <v>246</v>
      </c>
      <c r="X11" s="7">
        <f>W$2-W11</f>
        <v>0</v>
      </c>
      <c r="Y11" s="17">
        <f>V11+TIME(0,0,X11)</f>
        <v>3.3101851851851851E-3</v>
      </c>
      <c r="Z11" s="7">
        <f>RANK(Y11,Y$8:Y$11,1)</f>
        <v>3</v>
      </c>
      <c r="AA11" s="7">
        <f>VLOOKUP(Z11,'Место-баллы'!$A$3:$E$52,2,0)</f>
        <v>90</v>
      </c>
      <c r="AB11" s="10"/>
      <c r="AC11" s="7">
        <v>10</v>
      </c>
      <c r="AD11" s="7">
        <v>35</v>
      </c>
      <c r="AE11" s="17">
        <f>TIME(0,AC11,AD11)</f>
        <v>7.3495370370370372E-3</v>
      </c>
      <c r="AF11" s="7">
        <v>225</v>
      </c>
      <c r="AG11" s="7">
        <f>AF$2-AF11</f>
        <v>0</v>
      </c>
      <c r="AH11" s="17">
        <f>AE11+TIME(0,0,AG11)</f>
        <v>7.3495370370370372E-3</v>
      </c>
      <c r="AI11" s="7">
        <f>RANK(AH11,AH$8:AH$11,1)</f>
        <v>3</v>
      </c>
      <c r="AJ11" s="7">
        <f>VLOOKUP(AI11,'Место-баллы'!$A$3:$E$52,2,0)</f>
        <v>90</v>
      </c>
      <c r="AK11" s="10"/>
      <c r="AL11" s="7">
        <v>4</v>
      </c>
      <c r="AM11" s="7">
        <v>39</v>
      </c>
      <c r="AN11" s="17">
        <f>TIME(0,AL11,AM11)</f>
        <v>3.2291666666666666E-3</v>
      </c>
      <c r="AO11" s="7">
        <v>5</v>
      </c>
      <c r="AP11" s="7">
        <f>AO$2-AO11</f>
        <v>0</v>
      </c>
      <c r="AQ11" s="17">
        <f>AN11+TIME(0,0,AP11)</f>
        <v>3.2291666666666666E-3</v>
      </c>
      <c r="AR11" s="7">
        <f>RANK(AQ11,AQ$8:AQ$11,1)</f>
        <v>2</v>
      </c>
      <c r="AS11" s="7">
        <f>VLOOKUP(AR11,'Место-баллы'!$A$3:$E$52,2,0)</f>
        <v>95</v>
      </c>
    </row>
    <row r="12" spans="1:45" ht="15.75" customHeight="1" x14ac:dyDescent="0.25">
      <c r="A12" s="18"/>
    </row>
    <row r="13" spans="1:45" ht="15.75" customHeight="1" x14ac:dyDescent="0.25">
      <c r="A13" s="18"/>
    </row>
    <row r="14" spans="1:45" ht="15.75" customHeight="1" x14ac:dyDescent="0.25"/>
    <row r="15" spans="1:45" ht="15.75" customHeight="1" x14ac:dyDescent="0.25"/>
    <row r="16" spans="1:45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</sheetData>
  <mergeCells count="7">
    <mergeCell ref="AL5:AS6"/>
    <mergeCell ref="B5:C6"/>
    <mergeCell ref="E5:E6"/>
    <mergeCell ref="G5:I6"/>
    <mergeCell ref="K5:R6"/>
    <mergeCell ref="T5:AA6"/>
    <mergeCell ref="AC5:AJ6"/>
  </mergeCells>
  <printOptions horizontalCentered="1" verticalCentered="1"/>
  <pageMargins left="0" right="0" top="0" bottom="0" header="0" footer="0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Место-баллы</vt:lpstr>
      <vt:lpstr>Ж</vt:lpstr>
      <vt:lpstr>М</vt:lpstr>
      <vt:lpstr>К (13-15 - 35-45)</vt:lpstr>
      <vt:lpstr>К (16-18 - 46-55)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Reseption</dc:creator>
  <cp:lastModifiedBy>hp</cp:lastModifiedBy>
  <cp:lastPrinted>2022-01-30T13:26:09Z</cp:lastPrinted>
  <dcterms:created xsi:type="dcterms:W3CDTF">2017-08-12T14:09:08Z</dcterms:created>
  <dcterms:modified xsi:type="dcterms:W3CDTF">2022-01-30T13:49:58Z</dcterms:modified>
</cp:coreProperties>
</file>